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E-PROCESSO\planilhas\"/>
    </mc:Choice>
  </mc:AlternateContent>
  <xr:revisionPtr revIDLastSave="0" documentId="13_ncr:1_{31230178-AE4A-4628-8D36-AA754F48296E}" xr6:coauthVersionLast="47" xr6:coauthVersionMax="47" xr10:uidLastSave="{00000000-0000-0000-0000-000000000000}"/>
  <bookViews>
    <workbookView xWindow="-110" yWindow="-110" windowWidth="19420" windowHeight="10420" tabRatio="876" activeTab="3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3" sheetId="3" r:id="rId4"/>
    <sheet name="Proposta" sheetId="11" r:id="rId5"/>
  </sheets>
  <definedNames>
    <definedName name="FromArray_1">_xlfn.ANCHORARRAY('Copeiragem_Grupo 3'!#REF!)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0" l="1"/>
  <c r="O11" i="3"/>
  <c r="N11" i="3"/>
  <c r="M11" i="3"/>
  <c r="L11" i="3"/>
  <c r="L51" i="3"/>
  <c r="J41" i="10"/>
  <c r="K38" i="10"/>
  <c r="L56" i="3" l="1"/>
  <c r="L54" i="3"/>
  <c r="K54" i="3"/>
  <c r="K42" i="10"/>
  <c r="L52" i="3" s="1"/>
  <c r="I47" i="10"/>
  <c r="K48" i="10" s="1"/>
  <c r="L22" i="10"/>
  <c r="I114" i="3"/>
  <c r="H114" i="3"/>
  <c r="G114" i="3"/>
  <c r="F114" i="3"/>
  <c r="D114" i="3"/>
  <c r="L20" i="3" l="1"/>
  <c r="C45" i="7"/>
  <c r="C44" i="7"/>
  <c r="C43" i="7"/>
  <c r="C42" i="7"/>
  <c r="C41" i="7"/>
  <c r="O10" i="3"/>
  <c r="N10" i="3"/>
  <c r="M10" i="3"/>
  <c r="L10" i="3"/>
  <c r="K10" i="3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91" i="10"/>
  <c r="O97" i="3"/>
  <c r="N97" i="3"/>
  <c r="M97" i="3"/>
  <c r="L97" i="3"/>
  <c r="M56" i="3"/>
  <c r="N56" i="3"/>
  <c r="O56" i="3"/>
  <c r="K56" i="3"/>
  <c r="L53" i="3"/>
  <c r="M53" i="3"/>
  <c r="N53" i="3"/>
  <c r="O53" i="3"/>
  <c r="K53" i="3"/>
  <c r="O51" i="3"/>
  <c r="N51" i="3"/>
  <c r="M51" i="3"/>
  <c r="O21" i="3"/>
  <c r="N21" i="3"/>
  <c r="M21" i="3"/>
  <c r="L21" i="3"/>
  <c r="O23" i="3"/>
  <c r="N23" i="3"/>
  <c r="M23" i="3"/>
  <c r="L23" i="3"/>
  <c r="O28" i="3"/>
  <c r="O27" i="3"/>
  <c r="N28" i="3"/>
  <c r="N27" i="3"/>
  <c r="M28" i="3"/>
  <c r="M27" i="3"/>
  <c r="L28" i="3"/>
  <c r="L27" i="3"/>
  <c r="K11" i="3"/>
  <c r="M7" i="7"/>
  <c r="M27" i="7"/>
  <c r="M28" i="7"/>
  <c r="M29" i="7"/>
  <c r="M30" i="7"/>
  <c r="M31" i="7"/>
  <c r="M32" i="7"/>
  <c r="M33" i="7"/>
  <c r="M21" i="7"/>
  <c r="M22" i="7"/>
  <c r="M23" i="7"/>
  <c r="M24" i="7"/>
  <c r="M25" i="7"/>
  <c r="M26" i="7"/>
  <c r="M15" i="7"/>
  <c r="M16" i="7"/>
  <c r="M17" i="7"/>
  <c r="M18" i="7"/>
  <c r="M19" i="7"/>
  <c r="M20" i="7"/>
  <c r="M8" i="7"/>
  <c r="M9" i="7"/>
  <c r="M10" i="7"/>
  <c r="M11" i="7"/>
  <c r="M12" i="7"/>
  <c r="M13" i="7"/>
  <c r="M14" i="7"/>
  <c r="M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M6" i="7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I30" i="10"/>
  <c r="K30" i="10" s="1"/>
  <c r="K50" i="3" s="1"/>
  <c r="I31" i="10"/>
  <c r="K31" i="10" s="1"/>
  <c r="L50" i="3" s="1"/>
  <c r="I32" i="10"/>
  <c r="K32" i="10" s="1"/>
  <c r="M50" i="3" s="1"/>
  <c r="I33" i="10"/>
  <c r="K33" i="10" s="1"/>
  <c r="N50" i="3" s="1"/>
  <c r="I34" i="10"/>
  <c r="K34" i="10" s="1"/>
  <c r="O50" i="3" s="1"/>
  <c r="G31" i="10"/>
  <c r="G32" i="10"/>
  <c r="G33" i="10"/>
  <c r="G34" i="10"/>
  <c r="G30" i="10"/>
  <c r="N58" i="3"/>
  <c r="K54" i="10"/>
  <c r="K19" i="10"/>
  <c r="M20" i="3" s="1"/>
  <c r="M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75" i="10"/>
  <c r="J76" i="10"/>
  <c r="J77" i="10"/>
  <c r="J78" i="10"/>
  <c r="J79" i="10"/>
  <c r="J80" i="10"/>
  <c r="J81" i="10"/>
  <c r="J82" i="10"/>
  <c r="J83" i="10"/>
  <c r="J84" i="10"/>
  <c r="M108" i="10" l="1"/>
  <c r="Q108" i="10"/>
  <c r="O108" i="10"/>
  <c r="I108" i="10"/>
  <c r="K108" i="10"/>
  <c r="K20" i="3"/>
  <c r="O57" i="3"/>
  <c r="N20" i="3"/>
  <c r="N26" i="3" s="1"/>
  <c r="N29" i="3" s="1"/>
  <c r="N119" i="3" s="1"/>
  <c r="O20" i="3"/>
  <c r="O26" i="3" s="1"/>
  <c r="O29" i="3" s="1"/>
  <c r="O119" i="3" s="1"/>
  <c r="N57" i="3"/>
  <c r="L58" i="3"/>
  <c r="M58" i="3"/>
  <c r="M57" i="3"/>
  <c r="L57" i="3"/>
  <c r="K58" i="3"/>
  <c r="L26" i="3"/>
  <c r="L29" i="3" s="1"/>
  <c r="L119" i="3" s="1"/>
  <c r="K57" i="3"/>
  <c r="O58" i="3"/>
  <c r="M29" i="3"/>
  <c r="M119" i="3" s="1"/>
  <c r="K34" i="7"/>
  <c r="I34" i="7"/>
  <c r="M34" i="7"/>
  <c r="G34" i="7"/>
  <c r="M36" i="7" l="1"/>
  <c r="M37" i="7" s="1"/>
  <c r="G36" i="7"/>
  <c r="G37" i="7" s="1"/>
  <c r="I36" i="7"/>
  <c r="I37" i="7" s="1"/>
  <c r="K36" i="7"/>
  <c r="K37" i="7" s="1"/>
  <c r="N77" i="3"/>
  <c r="N34" i="3"/>
  <c r="M77" i="3"/>
  <c r="M34" i="3"/>
  <c r="O34" i="3"/>
  <c r="O77" i="3"/>
  <c r="L34" i="3"/>
  <c r="L77" i="3"/>
  <c r="K22" i="10"/>
  <c r="K25" i="10"/>
  <c r="K40" i="10"/>
  <c r="K44" i="7" l="1"/>
  <c r="I43" i="7"/>
  <c r="M41" i="7"/>
  <c r="M45" i="7"/>
  <c r="G42" i="7"/>
  <c r="M52" i="3"/>
  <c r="N52" i="3"/>
  <c r="O52" i="3"/>
  <c r="K52" i="3"/>
  <c r="F117" i="10" a="1"/>
  <c r="F117" i="10" s="1"/>
  <c r="F116" i="10" a="1"/>
  <c r="F116" i="10" s="1"/>
  <c r="G122" i="10" l="1"/>
  <c r="G121" i="10"/>
  <c r="G120" i="10"/>
  <c r="G119" i="10"/>
  <c r="B39" i="7"/>
  <c r="B40" i="7"/>
  <c r="K21" i="3"/>
  <c r="M39" i="7" l="1"/>
  <c r="I39" i="7"/>
  <c r="K39" i="7"/>
  <c r="G39" i="7"/>
  <c r="I40" i="7"/>
  <c r="K40" i="7"/>
  <c r="G40" i="7"/>
  <c r="M40" i="7"/>
  <c r="B38" i="7"/>
  <c r="M46" i="7" l="1"/>
  <c r="B30" i="11" s="1"/>
  <c r="G46" i="7"/>
  <c r="B27" i="11" s="1"/>
  <c r="C39" i="11" s="1"/>
  <c r="K46" i="7"/>
  <c r="B29" i="11" s="1"/>
  <c r="D29" i="11" s="1"/>
  <c r="F29" i="11" s="1"/>
  <c r="I46" i="7"/>
  <c r="B28" i="11" s="1"/>
  <c r="D28" i="11" s="1"/>
  <c r="F28" i="11" s="1"/>
  <c r="J74" i="10"/>
  <c r="J112" i="3"/>
  <c r="J111" i="3"/>
  <c r="J109" i="3"/>
  <c r="J108" i="3"/>
  <c r="G118" i="10"/>
  <c r="J67" i="10"/>
  <c r="J66" i="10"/>
  <c r="J63" i="10"/>
  <c r="D27" i="11" l="1"/>
  <c r="F27" i="11" s="1"/>
  <c r="C41" i="11"/>
  <c r="C40" i="11"/>
  <c r="C42" i="11"/>
  <c r="D30" i="11"/>
  <c r="F30" i="11" s="1"/>
  <c r="K110" i="10"/>
  <c r="L102" i="3" s="1"/>
  <c r="I110" i="10"/>
  <c r="K102" i="3" s="1"/>
  <c r="J85" i="10"/>
  <c r="J33" i="3"/>
  <c r="B88" i="3"/>
  <c r="B28" i="3"/>
  <c r="K27" i="3"/>
  <c r="K23" i="3"/>
  <c r="K101" i="3" l="1"/>
  <c r="L101" i="3"/>
  <c r="L104" i="3" s="1"/>
  <c r="L123" i="3" s="1"/>
  <c r="M101" i="3"/>
  <c r="N101" i="3"/>
  <c r="O101" i="3"/>
  <c r="N33" i="3"/>
  <c r="L33" i="3"/>
  <c r="M33" i="3"/>
  <c r="O33" i="3"/>
  <c r="M110" i="10"/>
  <c r="M102" i="3" s="1"/>
  <c r="J65" i="10"/>
  <c r="J64" i="10"/>
  <c r="J87" i="3"/>
  <c r="G41" i="3"/>
  <c r="J58" i="10"/>
  <c r="B58" i="3"/>
  <c r="I46" i="10"/>
  <c r="K46" i="10" s="1"/>
  <c r="J88" i="3"/>
  <c r="J83" i="3"/>
  <c r="J51" i="10"/>
  <c r="K49" i="10" s="1"/>
  <c r="K28" i="3"/>
  <c r="K8" i="3"/>
  <c r="E32" i="7"/>
  <c r="L55" i="3" l="1"/>
  <c r="M55" i="3"/>
  <c r="N55" i="3"/>
  <c r="O55" i="3"/>
  <c r="K55" i="3"/>
  <c r="N54" i="3"/>
  <c r="O54" i="3"/>
  <c r="M54" i="3"/>
  <c r="M104" i="3"/>
  <c r="M123" i="3" s="1"/>
  <c r="M35" i="3"/>
  <c r="N35" i="3"/>
  <c r="L35" i="3"/>
  <c r="O35" i="3"/>
  <c r="O110" i="10"/>
  <c r="N102" i="3" s="1"/>
  <c r="N104" i="3" s="1"/>
  <c r="N123" i="3" s="1"/>
  <c r="J85" i="3"/>
  <c r="J84" i="3"/>
  <c r="K51" i="3"/>
  <c r="K26" i="3"/>
  <c r="E41" i="3"/>
  <c r="J41" i="3" s="1"/>
  <c r="E33" i="7"/>
  <c r="E31" i="7"/>
  <c r="E25" i="7"/>
  <c r="E28" i="7"/>
  <c r="E30" i="7"/>
  <c r="E29" i="7"/>
  <c r="E9" i="7"/>
  <c r="E8" i="7"/>
  <c r="J86" i="3"/>
  <c r="J69" i="3"/>
  <c r="J35" i="3"/>
  <c r="M59" i="3" l="1"/>
  <c r="M64" i="3" s="1"/>
  <c r="O68" i="3"/>
  <c r="O71" i="3"/>
  <c r="O73" i="3"/>
  <c r="O70" i="3"/>
  <c r="L68" i="3"/>
  <c r="L70" i="3"/>
  <c r="L71" i="3"/>
  <c r="L73" i="3"/>
  <c r="M68" i="3"/>
  <c r="M73" i="3"/>
  <c r="M70" i="3"/>
  <c r="M71" i="3"/>
  <c r="N68" i="3"/>
  <c r="N71" i="3"/>
  <c r="N73" i="3"/>
  <c r="N70" i="3"/>
  <c r="L59" i="3"/>
  <c r="L64" i="3" s="1"/>
  <c r="O59" i="3"/>
  <c r="O64" i="3" s="1"/>
  <c r="N59" i="3"/>
  <c r="N64" i="3" s="1"/>
  <c r="O62" i="3"/>
  <c r="O37" i="3"/>
  <c r="O41" i="3" s="1"/>
  <c r="L62" i="3"/>
  <c r="L37" i="3"/>
  <c r="N62" i="3"/>
  <c r="N37" i="3"/>
  <c r="M62" i="3"/>
  <c r="M37" i="3"/>
  <c r="M41" i="3" s="1"/>
  <c r="Q110" i="10"/>
  <c r="O102" i="3" s="1"/>
  <c r="O104" i="3" s="1"/>
  <c r="O123" i="3" s="1"/>
  <c r="K59" i="3"/>
  <c r="K64" i="3" s="1"/>
  <c r="E34" i="7"/>
  <c r="J47" i="3"/>
  <c r="K29" i="3"/>
  <c r="K119" i="3" s="1"/>
  <c r="L40" i="3" l="1"/>
  <c r="L43" i="3"/>
  <c r="L39" i="3"/>
  <c r="L46" i="3"/>
  <c r="L45" i="3"/>
  <c r="L44" i="3"/>
  <c r="L42" i="3"/>
  <c r="K34" i="3"/>
  <c r="K77" i="3"/>
  <c r="K33" i="3"/>
  <c r="O43" i="3"/>
  <c r="O42" i="3"/>
  <c r="O40" i="3"/>
  <c r="O39" i="3"/>
  <c r="O46" i="3"/>
  <c r="O45" i="3"/>
  <c r="O44" i="3"/>
  <c r="L41" i="3"/>
  <c r="M40" i="3"/>
  <c r="M44" i="3"/>
  <c r="M39" i="3"/>
  <c r="M46" i="3"/>
  <c r="M45" i="3"/>
  <c r="M43" i="3"/>
  <c r="M42" i="3"/>
  <c r="O72" i="3"/>
  <c r="L72" i="3"/>
  <c r="M72" i="3"/>
  <c r="N72" i="3"/>
  <c r="M69" i="3"/>
  <c r="N69" i="3"/>
  <c r="L69" i="3"/>
  <c r="O69" i="3"/>
  <c r="N42" i="3"/>
  <c r="N40" i="3"/>
  <c r="N45" i="3"/>
  <c r="N39" i="3"/>
  <c r="N46" i="3"/>
  <c r="N43" i="3"/>
  <c r="N44" i="3"/>
  <c r="N41" i="3"/>
  <c r="E36" i="7"/>
  <c r="E37" i="7" s="1"/>
  <c r="E40" i="7" s="1"/>
  <c r="K92" i="3"/>
  <c r="K93" i="3"/>
  <c r="K104" i="3"/>
  <c r="K123" i="3" s="1"/>
  <c r="J72" i="3"/>
  <c r="O74" i="3" l="1"/>
  <c r="O79" i="3" s="1"/>
  <c r="E41" i="7"/>
  <c r="L74" i="3"/>
  <c r="L79" i="3" s="1"/>
  <c r="N74" i="3"/>
  <c r="M74" i="3"/>
  <c r="E39" i="7"/>
  <c r="K97" i="3"/>
  <c r="K35" i="3"/>
  <c r="O121" i="3" l="1"/>
  <c r="K68" i="3"/>
  <c r="K69" i="3" s="1"/>
  <c r="K70" i="3"/>
  <c r="K73" i="3"/>
  <c r="K71" i="3"/>
  <c r="K72" i="3" s="1"/>
  <c r="L121" i="3"/>
  <c r="N79" i="3"/>
  <c r="N121" i="3"/>
  <c r="K62" i="3"/>
  <c r="K37" i="3"/>
  <c r="M79" i="3"/>
  <c r="M121" i="3"/>
  <c r="E46" i="7"/>
  <c r="B48" i="7" s="1"/>
  <c r="K74" i="3" l="1"/>
  <c r="K121" i="3" s="1"/>
  <c r="B26" i="11"/>
  <c r="K40" i="3"/>
  <c r="K39" i="3"/>
  <c r="K46" i="3"/>
  <c r="K45" i="3"/>
  <c r="K43" i="3"/>
  <c r="K44" i="3"/>
  <c r="K42" i="3"/>
  <c r="K41" i="3"/>
  <c r="L47" i="3"/>
  <c r="L63" i="3" s="1"/>
  <c r="L65" i="3" s="1"/>
  <c r="L78" i="3" s="1"/>
  <c r="K79" i="3" l="1"/>
  <c r="D26" i="11"/>
  <c r="C38" i="11"/>
  <c r="K47" i="3"/>
  <c r="K63" i="3" s="1"/>
  <c r="K65" i="3" s="1"/>
  <c r="K78" i="3" s="1"/>
  <c r="L80" i="3"/>
  <c r="L82" i="3" s="1"/>
  <c r="L120" i="3"/>
  <c r="M47" i="3"/>
  <c r="M63" i="3" s="1"/>
  <c r="M65" i="3" s="1"/>
  <c r="M78" i="3" s="1"/>
  <c r="D35" i="11" l="1"/>
  <c r="F26" i="11"/>
  <c r="F35" i="11" s="1"/>
  <c r="M120" i="3"/>
  <c r="M80" i="3"/>
  <c r="M82" i="3" s="1"/>
  <c r="L86" i="3"/>
  <c r="L85" i="3"/>
  <c r="L88" i="3"/>
  <c r="L87" i="3"/>
  <c r="L84" i="3"/>
  <c r="L83" i="3"/>
  <c r="N47" i="3"/>
  <c r="N63" i="3" s="1"/>
  <c r="N65" i="3" s="1"/>
  <c r="N78" i="3" s="1"/>
  <c r="K120" i="3"/>
  <c r="N120" i="3" l="1"/>
  <c r="N80" i="3"/>
  <c r="N82" i="3" s="1"/>
  <c r="M87" i="3"/>
  <c r="M84" i="3"/>
  <c r="M86" i="3"/>
  <c r="M85" i="3"/>
  <c r="M88" i="3"/>
  <c r="M83" i="3"/>
  <c r="L89" i="3"/>
  <c r="L96" i="3" s="1"/>
  <c r="L98" i="3" s="1"/>
  <c r="L122" i="3" s="1"/>
  <c r="L124" i="3" s="1"/>
  <c r="O47" i="3"/>
  <c r="O63" i="3" s="1"/>
  <c r="O65" i="3" s="1"/>
  <c r="O78" i="3" s="1"/>
  <c r="K80" i="3"/>
  <c r="K82" i="3" s="1"/>
  <c r="O120" i="3" l="1"/>
  <c r="O80" i="3"/>
  <c r="O82" i="3" s="1"/>
  <c r="L108" i="3"/>
  <c r="N88" i="3"/>
  <c r="N87" i="3"/>
  <c r="N86" i="3"/>
  <c r="N83" i="3"/>
  <c r="N85" i="3"/>
  <c r="N84" i="3"/>
  <c r="M89" i="3"/>
  <c r="M96" i="3" s="1"/>
  <c r="M98" i="3" s="1"/>
  <c r="M122" i="3" s="1"/>
  <c r="M124" i="3" s="1"/>
  <c r="K85" i="3"/>
  <c r="K88" i="3"/>
  <c r="K84" i="3"/>
  <c r="K86" i="3"/>
  <c r="K83" i="3"/>
  <c r="K87" i="3"/>
  <c r="L109" i="3" l="1"/>
  <c r="L111" i="3" s="1"/>
  <c r="M108" i="3"/>
  <c r="N89" i="3"/>
  <c r="N96" i="3" s="1"/>
  <c r="N98" i="3" s="1"/>
  <c r="N122" i="3" s="1"/>
  <c r="N124" i="3" s="1"/>
  <c r="O85" i="3"/>
  <c r="O86" i="3"/>
  <c r="O83" i="3"/>
  <c r="O87" i="3"/>
  <c r="O88" i="3"/>
  <c r="O84" i="3"/>
  <c r="K89" i="3"/>
  <c r="K96" i="3" s="1"/>
  <c r="K98" i="3" s="1"/>
  <c r="K122" i="3" s="1"/>
  <c r="K124" i="3" s="1"/>
  <c r="L114" i="3" l="1"/>
  <c r="L112" i="3"/>
  <c r="O89" i="3"/>
  <c r="O96" i="3" s="1"/>
  <c r="O98" i="3" s="1"/>
  <c r="O122" i="3" s="1"/>
  <c r="O124" i="3" s="1"/>
  <c r="N108" i="3"/>
  <c r="M109" i="3"/>
  <c r="M111" i="3" s="1"/>
  <c r="K108" i="3"/>
  <c r="O108" i="3" l="1"/>
  <c r="O109" i="3" s="1"/>
  <c r="O111" i="3" s="1"/>
  <c r="M114" i="3"/>
  <c r="L115" i="3"/>
  <c r="L125" i="3" s="1"/>
  <c r="L126" i="3" s="1"/>
  <c r="L128" i="3" s="1"/>
  <c r="M112" i="3"/>
  <c r="N109" i="3"/>
  <c r="N112" i="3" s="1"/>
  <c r="K109" i="3"/>
  <c r="K114" i="3" s="1"/>
  <c r="O114" i="3" l="1"/>
  <c r="N114" i="3"/>
  <c r="C15" i="11"/>
  <c r="D15" i="11" s="1"/>
  <c r="F15" i="11" s="1"/>
  <c r="M115" i="3"/>
  <c r="M125" i="3" s="1"/>
  <c r="M126" i="3" s="1"/>
  <c r="N111" i="3"/>
  <c r="O112" i="3"/>
  <c r="K111" i="3"/>
  <c r="K112" i="3"/>
  <c r="B39" i="11" l="1"/>
  <c r="D39" i="11" s="1"/>
  <c r="F39" i="11" s="1"/>
  <c r="O115" i="3"/>
  <c r="O125" i="3" s="1"/>
  <c r="O126" i="3" s="1"/>
  <c r="O128" i="3" s="1"/>
  <c r="C16" i="11"/>
  <c r="D16" i="11" s="1"/>
  <c r="M128" i="3"/>
  <c r="N115" i="3"/>
  <c r="N125" i="3" s="1"/>
  <c r="N126" i="3" s="1"/>
  <c r="K115" i="3"/>
  <c r="K125" i="3" s="1"/>
  <c r="K126" i="3" s="1"/>
  <c r="C18" i="11" l="1"/>
  <c r="D18" i="11" s="1"/>
  <c r="B42" i="11" s="1"/>
  <c r="D42" i="11" s="1"/>
  <c r="F42" i="11" s="1"/>
  <c r="C14" i="11"/>
  <c r="D14" i="11" s="1"/>
  <c r="K128" i="3"/>
  <c r="N128" i="3"/>
  <c r="C17" i="11"/>
  <c r="D17" i="11" s="1"/>
  <c r="F16" i="11"/>
  <c r="B40" i="11"/>
  <c r="D40" i="11" s="1"/>
  <c r="F40" i="11" s="1"/>
  <c r="F18" i="11" l="1"/>
  <c r="D23" i="11"/>
  <c r="F23" i="11" s="1"/>
  <c r="F14" i="11"/>
  <c r="B38" i="11"/>
  <c r="D38" i="11" s="1"/>
  <c r="B41" i="11"/>
  <c r="D41" i="11" s="1"/>
  <c r="F41" i="11" s="1"/>
  <c r="F17" i="11"/>
  <c r="K129" i="3"/>
  <c r="F38" i="11" l="1"/>
  <c r="D47" i="11"/>
  <c r="F47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tc={BDB9CE57-6A9B-442E-B648-C1F7767B8294}</author>
    <author>tc={28B7EF2A-C264-41ED-B988-A468ACC534A0}</author>
    <author>tc={A65B6F99-9B38-49C8-ABF2-8E6F31E9581C}</author>
    <author>Anderson Shigueru Tanaka</author>
    <author>tc={D5645F08-3865-4D3D-A745-AD51C3D0DC58}</author>
    <author>tc={047988E5-4BA4-4D25-98E7-4A14FF71E1D0}</author>
  </authors>
  <commentList>
    <comment ref="E29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 lançado conforme realidade de cada município e necessidade do empregado, e não caberá Termo Aditivo para aumentar o valor, caso o licitante lance  a menor.
</t>
      </text>
    </comment>
    <comment ref="K36" authorId="1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37" authorId="2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J40" authorId="3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0" authorId="4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44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5" authorId="4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J62" authorId="6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<sst xmlns="http://schemas.openxmlformats.org/spreadsheetml/2006/main" count="694" uniqueCount="376">
  <si>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</si>
  <si>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</si>
  <si>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</si>
  <si>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</si>
  <si>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</si>
  <si>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</si>
  <si>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</si>
  <si>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</si>
  <si>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</si>
  <si>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</si>
  <si>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</si>
  <si>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</si>
  <si>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</si>
  <si>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</si>
  <si>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</si>
  <si>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</si>
  <si>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</si>
  <si>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</si>
  <si>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</si>
  <si>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</si>
  <si>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</si>
  <si>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</si>
  <si>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</si>
  <si>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</si>
  <si>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</si>
  <si>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</si>
  <si>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</si>
  <si>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</si>
  <si>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</si>
  <si>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</si>
  <si>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</si>
  <si>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</si>
  <si>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</si>
  <si>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</si>
  <si>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</si>
  <si>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</si>
  <si>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</si>
  <si>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</si>
  <si>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</si>
  <si>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</si>
  <si>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</si>
  <si>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</si>
  <si>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</si>
  <si>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</si>
  <si>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</si>
  <si>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</si>
  <si>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</si>
  <si>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</si>
  <si>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</si>
  <si>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</si>
  <si>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</si>
  <si>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</si>
  <si>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</si>
  <si>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</si>
  <si>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</si>
  <si>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</si>
  <si>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</si>
  <si>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</si>
  <si>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</si>
  <si>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</si>
  <si>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</si>
  <si>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</si>
  <si>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</si>
  <si>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</si>
  <si>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</si>
  <si>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</si>
  <si>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</si>
  <si>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</si>
  <si>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</si>
  <si>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</si>
  <si>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</si>
  <si>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</si>
  <si>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</si>
  <si>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</si>
  <si>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</si>
  <si>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</si>
  <si>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</si>
  <si>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</si>
  <si>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</si>
  <si>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</si>
  <si>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</si>
  <si>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</si>
  <si>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</si>
  <si>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</si>
  <si>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</si>
  <si>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</si>
  <si>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</si>
  <si>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</si>
  <si>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</si>
  <si>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</si>
  <si>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</si>
  <si>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</si>
  <si>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</si>
  <si>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</si>
  <si>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</si>
  <si>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</si>
  <si>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</si>
  <si>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</si>
  <si>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</si>
  <si>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</si>
  <si>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</si>
  <si>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</si>
  <si>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</si>
  <si>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</si>
  <si>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</si>
  <si>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</si>
  <si>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</si>
  <si>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</si>
  <si>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</si>
  <si>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</si>
  <si>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</si>
  <si>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</si>
  <si>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</si>
  <si>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</si>
  <si>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</si>
  <si>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</si>
  <si>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</si>
  <si>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</si>
  <si>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</si>
  <si>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</si>
  <si>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</si>
  <si>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</si>
  <si>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</si>
  <si>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</si>
  <si>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</si>
  <si>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</si>
  <si>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</si>
  <si>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</si>
  <si>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</si>
  <si>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</si>
  <si>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</si>
  <si>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</si>
  <si>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</si>
  <si>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</si>
  <si>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</si>
  <si>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</si>
  <si>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</si>
  <si>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</si>
  <si>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</si>
  <si>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</si>
  <si>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</si>
  <si>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</si>
  <si>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</si>
  <si>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</si>
  <si>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</si>
  <si>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</si>
  <si>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</si>
  <si>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</si>
  <si>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</si>
  <si>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</si>
  <si>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</si>
  <si>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</si>
  <si>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</si>
  <si>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</si>
  <si>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</si>
  <si>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</si>
  <si>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B.2) Quantidade de dias do mês de recebimento do auxílio-refeição</t>
  </si>
  <si>
    <t xml:space="preserve">     B.3) Participação do empregado</t>
  </si>
  <si>
    <t xml:space="preserve">     F.1) Prêmio Mensal Estimado</t>
  </si>
  <si>
    <t xml:space="preserve">     F.2) Participação do Empregado (10% dos prêmios mensais)</t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</si>
  <si>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</si>
  <si>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</si>
  <si>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</si>
  <si>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</si>
  <si>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</si>
  <si>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</si>
  <si>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</si>
  <si>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</si>
  <si>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</si>
  <si>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</si>
  <si>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</si>
  <si>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</si>
  <si>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</si>
  <si>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</si>
  <si>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</si>
  <si>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</si>
  <si>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</si>
  <si>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</si>
  <si>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</si>
  <si>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</si>
  <si>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</si>
  <si>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</si>
  <si>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</si>
  <si>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</si>
  <si>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</si>
  <si>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</si>
  <si>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</si>
  <si>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</si>
  <si>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</si>
  <si>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</si>
  <si>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</si>
  <si>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</si>
  <si>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</si>
  <si>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</si>
  <si>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</si>
  <si>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</si>
  <si>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</si>
  <si>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</si>
  <si>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</si>
  <si>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</si>
  <si>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</si>
  <si>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</si>
  <si>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</si>
  <si>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</si>
  <si>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</si>
  <si>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</si>
  <si>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</si>
  <si>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</si>
  <si>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</si>
  <si>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</si>
  <si>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</si>
  <si>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VALOR TOTAL POR EMPREGADO - PARTE FIXA</t>
  </si>
  <si>
    <t>Ao final, a aba "Proposta" deverá ser impressa e assinada para remessa com a Planilha de Custos e Formação de Preços.</t>
  </si>
  <si>
    <t>1 de janeiro</t>
  </si>
  <si>
    <r>
      <t xml:space="preserve">Base de Cálculo - Custo de Reposição do Profissional Ausente
BCCPA = Módulo 1 + Módulo 2 (-VA  -VT)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</si>
  <si>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</si>
  <si>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</si>
  <si>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</si>
  <si>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</si>
  <si>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</si>
  <si>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</si>
  <si>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</si>
  <si>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</si>
  <si>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</si>
  <si>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</si>
  <si>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</si>
  <si>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</si>
  <si>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</si>
  <si>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</si>
  <si>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</si>
  <si>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</si>
  <si>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</si>
  <si>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</si>
  <si>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</si>
  <si>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</si>
  <si>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</si>
  <si>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</si>
  <si>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</si>
  <si>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</si>
  <si>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</si>
  <si>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</si>
  <si>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</si>
  <si>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</si>
  <si>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</si>
  <si>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</si>
  <si>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</si>
  <si>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</si>
  <si>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</si>
  <si>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</si>
  <si>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</si>
  <si>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</si>
  <si>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</si>
  <si>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</si>
  <si>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</si>
  <si>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</si>
  <si>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</si>
  <si>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</si>
  <si>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</si>
  <si>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</si>
  <si>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</si>
  <si>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</si>
  <si>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</si>
  <si>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</si>
  <si>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</si>
  <si>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</si>
  <si>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</si>
  <si>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</si>
  <si>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</si>
  <si>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</si>
  <si>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</si>
  <si>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</si>
  <si>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</si>
  <si>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</si>
  <si>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</si>
  <si>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</si>
  <si>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</si>
  <si>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</si>
  <si>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</si>
  <si>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</si>
  <si>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</si>
  <si>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</si>
  <si>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</si>
  <si>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</si>
  <si>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</si>
  <si>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 xml:space="preserve">     Vale-Transporte - o licitante deverá prever seus custos conforme realidade de cada município. Não caberá pedido de aditamento para aumentar o valor, caso lancem valor a menor</t>
  </si>
  <si>
    <t>VALOR TOTAL MENSAL ESTIMADO POR ÓRGÃO</t>
  </si>
  <si>
    <t>SINDICATO</t>
  </si>
  <si>
    <t>SEACSP/SIEMACO</t>
  </si>
  <si>
    <t>Base:</t>
  </si>
  <si>
    <t>Quantidade de postos</t>
  </si>
  <si>
    <t>Valor total por item - Custos Fixos com mão de obra</t>
  </si>
  <si>
    <t>Valor total do grupo para custo com mão de obra</t>
  </si>
  <si>
    <t>VALOR TOTAL DO GRUPO - MENSAL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</si>
  <si>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</si>
  <si>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ANEXO III
PLANILHA DE CUSTO E FORMAÇÃO DE PREÇOS
Grupo 2- Campinas e Região</t>
  </si>
  <si>
    <t xml:space="preserve">ISSQN </t>
  </si>
  <si>
    <t>LOCAL DE PRESTAÇÃO</t>
  </si>
  <si>
    <t>Multa do FGTS sobre Aviso Prévio Indenizado</t>
  </si>
  <si>
    <t xml:space="preserve">Módulo 2 - VA - VT </t>
  </si>
  <si>
    <t>A aba "Copeiragem_Grupo 3" apenas sintetiza os valores lançados nas  abas anteriores.</t>
  </si>
  <si>
    <t>Bauru</t>
  </si>
  <si>
    <t>Ribeirão Preto</t>
  </si>
  <si>
    <t>Pres. Prudente</t>
  </si>
  <si>
    <t>Araçatuba</t>
  </si>
  <si>
    <t>São José R Preto</t>
  </si>
  <si>
    <t>Presidente Prudente</t>
  </si>
  <si>
    <t>São Jose R  Preto</t>
  </si>
  <si>
    <t>SEACSP/Seth</t>
  </si>
  <si>
    <t>PLANILHA AUXILIAR
Grupo 3 - Oeste Paulista</t>
  </si>
  <si>
    <t>São José do Rio Preto</t>
  </si>
  <si>
    <t>R. Preto</t>
  </si>
  <si>
    <t>Pres. Prud</t>
  </si>
  <si>
    <t>SJ do Rio Preto</t>
  </si>
  <si>
    <t>ISSQN -Bauru</t>
  </si>
  <si>
    <t>ISSQN Ribeirão Preto</t>
  </si>
  <si>
    <t>ISSQN - Presidente Prudente</t>
  </si>
  <si>
    <t>ISSQN - Araçatuba</t>
  </si>
  <si>
    <t>ISSQN - São José do Rio Preto</t>
  </si>
  <si>
    <t>ITEM 19</t>
  </si>
  <si>
    <t>ITEM 20</t>
  </si>
  <si>
    <t>PROPOSTA FINAL
Grupo 3 -  Oeste Paulista</t>
  </si>
  <si>
    <t>19/Bauru</t>
  </si>
  <si>
    <t>20/Ribeirão Preto</t>
  </si>
  <si>
    <t>21/Pres Prudente</t>
  </si>
  <si>
    <t>24/Araçatuba</t>
  </si>
  <si>
    <t>27/São J R Preto</t>
  </si>
  <si>
    <t>item 19 -Bauru</t>
  </si>
  <si>
    <t>item 20 - Ribeirão Preto</t>
  </si>
  <si>
    <t>item 21 - Presidente Prudente</t>
  </si>
  <si>
    <t>item 22 - Araçatuba</t>
  </si>
  <si>
    <t>item 23 - São José do Rio Preto</t>
  </si>
  <si>
    <t>ITEM 19 DRF/BAURU</t>
  </si>
  <si>
    <t>ITEM 20 DRFRPO</t>
  </si>
  <si>
    <t>ITEM 21 DRF/PPE</t>
  </si>
  <si>
    <t>ITEM 22 DRF/ATA</t>
  </si>
  <si>
    <t>ITEM 23 DRFSJR</t>
  </si>
  <si>
    <t>Marcas de café</t>
  </si>
  <si>
    <t>Declaro que os equipamentos que serão disponibilizados são novos.</t>
  </si>
  <si>
    <t>ITEM 21</t>
  </si>
  <si>
    <t>ITEM 22</t>
  </si>
  <si>
    <t>ITEM 23</t>
  </si>
  <si>
    <r>
      <t>outros/descrever. Obs:</t>
    </r>
    <r>
      <rPr>
        <i/>
        <sz val="11"/>
        <color rgb="FF000000"/>
        <rFont val="Calibri"/>
        <family val="2"/>
      </rPr>
      <t xml:space="preserve"> (não serão aceitos lançamentos de prêmio por assiduidade ou qualquer outra verba de caráter pessoal, estritamente ligada ao empregado que presta o serviço. O licitante deverá prever tal tipo de custo em suas despesas administrativas.</t>
    </r>
  </si>
  <si>
    <t>SEACRP/SIEMACORP</t>
  </si>
  <si>
    <t>RIBEIRÃO PRETO</t>
  </si>
  <si>
    <t>demais municípios</t>
  </si>
  <si>
    <t xml:space="preserve">Cesta Básica </t>
  </si>
  <si>
    <t xml:space="preserve">Auxílio-Refeição </t>
  </si>
  <si>
    <t xml:space="preserve">Auxílio Creche </t>
  </si>
  <si>
    <t xml:space="preserve">Seguro de Vida </t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</si>
  <si>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 xml:space="preserve"> -</t>
    </r>
    <r>
      <rPr>
        <i/>
        <sz val="11"/>
        <color rgb="FF000000"/>
        <rFont val="Calibri"/>
        <family val="2"/>
      </rPr>
      <t xml:space="preserve"> Tiquete Refeição adicional em 16/05</t>
    </r>
  </si>
  <si>
    <t>Assistência Médica e Odontológica/Sistema de Proteção Social da Categoria</t>
  </si>
  <si>
    <t xml:space="preserve">     E.3) % de ocorrência anual</t>
  </si>
  <si>
    <t>Demais municípios:</t>
  </si>
  <si>
    <t>Benefício Social Sindical (no caso das CCT dos demais municípios)</t>
  </si>
  <si>
    <t>Vale Transporte</t>
  </si>
  <si>
    <t xml:space="preserve">Assistência Médica e Odontológica </t>
  </si>
  <si>
    <t>Dia do Trabalhador em Asseio e Conservação:</t>
  </si>
  <si>
    <t>Benefício Social Sindical  / Familiar</t>
  </si>
  <si>
    <t>Demais munícípios</t>
  </si>
  <si>
    <t>Ribeirão Preto (2024)</t>
  </si>
  <si>
    <t>Rib. Preto (2024):</t>
  </si>
  <si>
    <r>
      <t xml:space="preserve">     B.1) Valor do auxílio-refeição</t>
    </r>
    <r>
      <rPr>
        <b/>
        <i/>
        <sz val="11"/>
        <color rgb="FF000000"/>
        <rFont val="Calibri"/>
        <family val="2"/>
      </rPr>
      <t xml:space="preserve"> (demais municípios)</t>
    </r>
  </si>
  <si>
    <r>
      <t xml:space="preserve">B.1) Valor do auxílio-refeição </t>
    </r>
    <r>
      <rPr>
        <b/>
        <i/>
        <sz val="11"/>
        <color rgb="FF000000"/>
        <rFont val="Calibri"/>
        <family val="2"/>
      </rPr>
      <t>(Ribeirão Preto)</t>
    </r>
  </si>
  <si>
    <t>Benefício Social Familiar (Ribeirão Preto 2024))</t>
  </si>
  <si>
    <r>
      <rPr>
        <b/>
        <u/>
        <sz val="14"/>
        <color rgb="FF000000"/>
        <rFont val="Arial1"/>
      </rPr>
      <t>ALERTA</t>
    </r>
    <r>
      <rPr>
        <b/>
        <sz val="11"/>
        <color rgb="FF000000"/>
        <rFont val="Arial1"/>
      </rPr>
      <t>: os valores do salário e beneficios para o município de Ribeirão Preto foram obtidos junto à CCT SEACRP/SIEMACORP de 2024, uma vez que a nova CCT 2025 não havia sido registrada até o fim da edição destes documentos. Eventuais pedidos de repactuação deverão ser feitos posteriormente. Para fins de análise de proposta, consideraremos os valores de 2024 para Ribeirão Preto.</t>
    </r>
  </si>
  <si>
    <t>Auxílio Creche demais municípios:</t>
  </si>
  <si>
    <t>Auxílio Creche Rib Preto (2024):</t>
  </si>
  <si>
    <r>
      <t xml:space="preserve">     E.1) Valor Mensal (</t>
    </r>
    <r>
      <rPr>
        <i/>
        <sz val="11"/>
        <color rgb="FFFF0000"/>
        <rFont val="Calibri"/>
        <family val="2"/>
      </rPr>
      <t>30%</t>
    </r>
    <r>
      <rPr>
        <i/>
        <sz val="11"/>
        <color rgb="FF000000"/>
        <rFont val="Calibri"/>
        <family val="2"/>
      </rPr>
      <t xml:space="preserve"> do Salário Mínimo Vigente CCT demais municípios)</t>
    </r>
  </si>
  <si>
    <r>
      <t>E.2) Valor Mensal (</t>
    </r>
    <r>
      <rPr>
        <i/>
        <sz val="11"/>
        <color rgb="FFFF0000"/>
        <rFont val="Calibri"/>
        <family val="2"/>
      </rPr>
      <t>5%</t>
    </r>
    <r>
      <rPr>
        <i/>
        <sz val="11"/>
        <color rgb="FF000000"/>
        <rFont val="Calibri"/>
        <family val="2"/>
      </rPr>
      <t xml:space="preserve"> do Salário Mínimo Vigente CCT SEACRP/SIEMACORP)</t>
    </r>
  </si>
  <si>
    <t>Demais munícípios:Valor/dia</t>
  </si>
  <si>
    <t>Ribeirão Preto (2024):Valor/dia</t>
  </si>
  <si>
    <t>40 (quarenta) horas semanais, diurnas, de segunda a sexta-feira, sem prejuízo do salário integral</t>
  </si>
  <si>
    <t>90008/2025</t>
  </si>
  <si>
    <t>13032.127454/2025-68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</si>
  <si>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</si>
  <si>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Regime Tributário: ao clicar na célula amarela abrirá a seta para escolha (se Presumido ou Real).  Apenas clique na sua opção. Ao clicar, as células para PIS e COFINS serão preenchidas automaticamente.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</si>
</sst>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_ ;[Red]\-#,##0\ "/>
  </numFmts>
  <fonts count="69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7"/>
      <color rgb="FF242424"/>
      <name val="Calibri"/>
      <family val="2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sz val="10"/>
      <color rgb="FF000000"/>
      <name val="Calibri"/>
      <family val="2"/>
    </font>
    <font>
      <sz val="12"/>
      <name val="Calibri"/>
      <family val="2"/>
      <scheme val="minor"/>
    </font>
    <font>
      <b/>
      <sz val="9"/>
      <color rgb="FF242424"/>
      <name val="Calibri"/>
      <family val="2"/>
      <scheme val="minor"/>
    </font>
    <font>
      <b/>
      <sz val="12"/>
      <color rgb="FF242424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rgb="FF000000"/>
      <name val="Arial1"/>
    </font>
    <font>
      <sz val="11"/>
      <color rgb="FFFF0000"/>
      <name val="Arial1"/>
    </font>
    <font>
      <sz val="11"/>
      <name val="Arial1"/>
    </font>
    <font>
      <u/>
      <sz val="11"/>
      <color rgb="FFFF0000"/>
      <name val="Arial1"/>
    </font>
    <font>
      <b/>
      <sz val="10"/>
      <color rgb="FFFF0000"/>
      <name val="Arial1"/>
    </font>
  </fonts>
  <fills count="38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3" fillId="0" borderId="0" applyBorder="0" applyProtection="0"/>
    <xf numFmtId="0" fontId="3" fillId="0" borderId="0" applyBorder="0" applyProtection="0"/>
    <xf numFmtId="164" fontId="15" fillId="0" borderId="0" applyBorder="0" applyProtection="0"/>
    <xf numFmtId="0" fontId="4" fillId="0" borderId="0" applyBorder="0" applyProtection="0"/>
    <xf numFmtId="165" fontId="5" fillId="0" borderId="0" applyBorder="0" applyProtection="0"/>
    <xf numFmtId="0" fontId="6" fillId="0" borderId="0" applyBorder="0" applyProtection="0"/>
    <xf numFmtId="0" fontId="6" fillId="0" borderId="0" applyBorder="0" applyProtection="0"/>
    <xf numFmtId="9" fontId="15" fillId="0" borderId="0" applyFont="0" applyFill="0" applyBorder="0" applyAlignment="0" applyProtection="0"/>
    <xf numFmtId="174" fontId="33" fillId="0" borderId="0" applyBorder="0" applyProtection="0"/>
    <xf numFmtId="0" fontId="2" fillId="0" borderId="0"/>
    <xf numFmtId="0" fontId="1" fillId="0" borderId="0"/>
  </cellStyleXfs>
  <cellXfs count="881">
    <xf numFmtId="0" fontId="0" fillId="0" borderId="0" xfId="0"/>
    <xf numFmtId="0" fontId="0" fillId="0" borderId="0" xfId="0"/>
    <xf numFmtId="0" fontId="11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9" fillId="6" borderId="0" xfId="0" applyNumberFormat="1" applyFont="1" applyFill="1" applyAlignment="1">
      <alignment horizontal="center" vertical="center"/>
    </xf>
    <xf numFmtId="0" fontId="0" fillId="0" borderId="0" xfId="0"/>
    <xf numFmtId="0" fontId="9" fillId="5" borderId="13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9" fillId="14" borderId="34" xfId="0" applyFont="1" applyFill="1" applyBorder="1" applyAlignment="1">
      <alignment horizontal="center" vertical="center"/>
    </xf>
    <xf numFmtId="0" fontId="9" fillId="13" borderId="3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5" borderId="41" xfId="0" applyFont="1" applyFill="1" applyBorder="1" applyAlignment="1">
      <alignment horizontal="center" vertical="center"/>
    </xf>
    <xf numFmtId="10" fontId="8" fillId="0" borderId="34" xfId="0" applyNumberFormat="1" applyFont="1" applyBorder="1" applyAlignment="1">
      <alignment horizontal="center" vertical="center"/>
    </xf>
    <xf numFmtId="10" fontId="8" fillId="0" borderId="34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164" fontId="8" fillId="12" borderId="38" xfId="3" applyFont="1" applyFill="1" applyBorder="1" applyAlignment="1">
      <alignment horizontal="center" vertical="center"/>
    </xf>
    <xf numFmtId="164" fontId="8" fillId="16" borderId="38" xfId="3" applyFont="1" applyFill="1" applyBorder="1" applyAlignment="1">
      <alignment horizontal="center" vertical="center"/>
    </xf>
    <xf numFmtId="165" fontId="9" fillId="3" borderId="4" xfId="0" applyNumberFormat="1" applyFont="1" applyFill="1" applyBorder="1" applyAlignment="1">
      <alignment horizontal="center" vertical="center"/>
    </xf>
    <xf numFmtId="165" fontId="9" fillId="5" borderId="4" xfId="0" applyNumberFormat="1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14" borderId="3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167" fontId="8" fillId="0" borderId="47" xfId="0" applyNumberFormat="1" applyFont="1" applyBorder="1" applyAlignment="1">
      <alignment horizontal="center" vertical="center"/>
    </xf>
    <xf numFmtId="10" fontId="9" fillId="5" borderId="4" xfId="0" applyNumberFormat="1" applyFont="1" applyFill="1" applyBorder="1" applyAlignment="1">
      <alignment horizontal="center" vertical="center"/>
    </xf>
    <xf numFmtId="10" fontId="8" fillId="0" borderId="47" xfId="0" applyNumberFormat="1" applyFont="1" applyBorder="1" applyAlignment="1">
      <alignment horizontal="center" vertical="center"/>
    </xf>
    <xf numFmtId="10" fontId="9" fillId="2" borderId="4" xfId="0" applyNumberFormat="1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165" fontId="9" fillId="12" borderId="34" xfId="0" applyNumberFormat="1" applyFont="1" applyFill="1" applyBorder="1" applyAlignment="1">
      <alignment horizontal="center" vertical="center"/>
    </xf>
    <xf numFmtId="165" fontId="9" fillId="16" borderId="34" xfId="0" applyNumberFormat="1" applyFont="1" applyFill="1" applyBorder="1" applyAlignment="1">
      <alignment horizontal="center" vertical="center"/>
    </xf>
    <xf numFmtId="165" fontId="9" fillId="16" borderId="47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8" fillId="5" borderId="39" xfId="0" applyNumberFormat="1" applyFont="1" applyFill="1" applyBorder="1" applyAlignment="1">
      <alignment horizontal="right" vertical="center"/>
    </xf>
    <xf numFmtId="165" fontId="8" fillId="5" borderId="34" xfId="0" applyNumberFormat="1" applyFont="1" applyFill="1" applyBorder="1" applyAlignment="1">
      <alignment horizontal="right" vertical="center"/>
    </xf>
    <xf numFmtId="165" fontId="8" fillId="5" borderId="47" xfId="0" applyNumberFormat="1" applyFont="1" applyFill="1" applyBorder="1" applyAlignment="1">
      <alignment horizontal="right" vertical="center"/>
    </xf>
    <xf numFmtId="165" fontId="9" fillId="8" borderId="4" xfId="0" applyNumberFormat="1" applyFont="1" applyFill="1" applyBorder="1" applyAlignment="1">
      <alignment horizontal="right" vertical="center"/>
    </xf>
    <xf numFmtId="170" fontId="8" fillId="0" borderId="39" xfId="0" applyNumberFormat="1" applyFont="1" applyBorder="1" applyAlignment="1">
      <alignment horizontal="center" vertical="center"/>
    </xf>
    <xf numFmtId="170" fontId="9" fillId="8" borderId="4" xfId="0" applyNumberFormat="1" applyFont="1" applyFill="1" applyBorder="1" applyAlignment="1">
      <alignment horizontal="center" vertical="center"/>
    </xf>
    <xf numFmtId="170" fontId="8" fillId="0" borderId="34" xfId="0" applyNumberFormat="1" applyFont="1" applyBorder="1" applyAlignment="1">
      <alignment horizontal="center" vertical="center"/>
    </xf>
    <xf numFmtId="170" fontId="8" fillId="0" borderId="47" xfId="0" applyNumberFormat="1" applyFont="1" applyBorder="1" applyAlignment="1">
      <alignment horizontal="center" vertical="center"/>
    </xf>
    <xf numFmtId="170" fontId="9" fillId="5" borderId="4" xfId="0" applyNumberFormat="1" applyFont="1" applyFill="1" applyBorder="1" applyAlignment="1">
      <alignment horizontal="center" vertical="center"/>
    </xf>
    <xf numFmtId="170" fontId="9" fillId="2" borderId="4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vertical="center"/>
    </xf>
    <xf numFmtId="165" fontId="9" fillId="6" borderId="0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8" fillId="6" borderId="31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vertical="center"/>
    </xf>
    <xf numFmtId="0" fontId="8" fillId="6" borderId="63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10" fontId="8" fillId="12" borderId="25" xfId="0" applyNumberFormat="1" applyFont="1" applyFill="1" applyBorder="1" applyAlignment="1">
      <alignment horizontal="center" vertical="center"/>
    </xf>
    <xf numFmtId="168" fontId="8" fillId="12" borderId="25" xfId="0" applyNumberFormat="1" applyFont="1" applyFill="1" applyBorder="1" applyAlignment="1">
      <alignment horizontal="center" vertical="center"/>
    </xf>
    <xf numFmtId="9" fontId="8" fillId="0" borderId="4" xfId="8" applyFont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165" fontId="9" fillId="3" borderId="7" xfId="0" applyNumberFormat="1" applyFont="1" applyFill="1" applyBorder="1" applyAlignment="1">
      <alignment horizontal="center" vertical="center"/>
    </xf>
    <xf numFmtId="164" fontId="22" fillId="0" borderId="67" xfId="3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68" xfId="0" applyFont="1" applyFill="1" applyBorder="1" applyAlignment="1">
      <alignment horizontal="center" vertical="center"/>
    </xf>
    <xf numFmtId="0" fontId="9" fillId="17" borderId="37" xfId="0" applyFont="1" applyFill="1" applyBorder="1" applyAlignment="1">
      <alignment horizontal="center" vertical="center"/>
    </xf>
    <xf numFmtId="0" fontId="9" fillId="17" borderId="43" xfId="0" applyFont="1" applyFill="1" applyBorder="1" applyAlignment="1">
      <alignment horizontal="center" vertical="center"/>
    </xf>
    <xf numFmtId="169" fontId="8" fillId="6" borderId="34" xfId="0" applyNumberFormat="1" applyFont="1" applyFill="1" applyBorder="1" applyAlignment="1">
      <alignment horizontal="right" vertical="center"/>
    </xf>
    <xf numFmtId="169" fontId="8" fillId="6" borderId="47" xfId="0" applyNumberFormat="1" applyFont="1" applyFill="1" applyBorder="1" applyAlignment="1">
      <alignment horizontal="right" vertical="center"/>
    </xf>
    <xf numFmtId="0" fontId="8" fillId="0" borderId="40" xfId="0" applyFont="1" applyBorder="1" applyAlignment="1">
      <alignment vertical="center"/>
    </xf>
    <xf numFmtId="9" fontId="8" fillId="0" borderId="40" xfId="8" applyFont="1" applyBorder="1" applyAlignment="1">
      <alignment horizontal="center" vertical="center"/>
    </xf>
    <xf numFmtId="169" fontId="9" fillId="8" borderId="4" xfId="0" applyNumberFormat="1" applyFont="1" applyFill="1" applyBorder="1" applyAlignment="1">
      <alignment horizontal="right" vertical="center"/>
    </xf>
    <xf numFmtId="10" fontId="8" fillId="16" borderId="3" xfId="0" applyNumberFormat="1" applyFont="1" applyFill="1" applyBorder="1" applyAlignment="1">
      <alignment horizontal="center" vertical="center"/>
    </xf>
    <xf numFmtId="168" fontId="8" fillId="1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8" fillId="16" borderId="34" xfId="0" applyNumberFormat="1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/>
    </xf>
    <xf numFmtId="167" fontId="8" fillId="6" borderId="10" xfId="0" applyNumberFormat="1" applyFont="1" applyFill="1" applyBorder="1" applyAlignment="1">
      <alignment horizontal="center" vertical="center"/>
    </xf>
    <xf numFmtId="10" fontId="8" fillId="0" borderId="12" xfId="0" applyNumberFormat="1" applyFont="1" applyFill="1" applyBorder="1" applyAlignment="1">
      <alignment horizontal="center" vertical="center"/>
    </xf>
    <xf numFmtId="10" fontId="8" fillId="0" borderId="15" xfId="0" applyNumberFormat="1" applyFont="1" applyFill="1" applyBorder="1" applyAlignment="1">
      <alignment horizontal="center" vertical="center"/>
    </xf>
    <xf numFmtId="10" fontId="8" fillId="0" borderId="16" xfId="0" applyNumberFormat="1" applyFont="1" applyFill="1" applyBorder="1" applyAlignment="1">
      <alignment horizontal="center" vertical="center"/>
    </xf>
    <xf numFmtId="165" fontId="8" fillId="0" borderId="39" xfId="0" applyNumberFormat="1" applyFont="1" applyBorder="1" applyAlignment="1">
      <alignment horizontal="right" vertical="center"/>
    </xf>
    <xf numFmtId="165" fontId="8" fillId="0" borderId="34" xfId="0" applyNumberFormat="1" applyFont="1" applyBorder="1" applyAlignment="1">
      <alignment horizontal="right" vertical="center"/>
    </xf>
    <xf numFmtId="0" fontId="9" fillId="5" borderId="42" xfId="0" applyFont="1" applyFill="1" applyBorder="1" applyAlignment="1">
      <alignment horizontal="center" vertical="center"/>
    </xf>
    <xf numFmtId="165" fontId="8" fillId="0" borderId="47" xfId="0" applyNumberFormat="1" applyFont="1" applyBorder="1" applyAlignment="1">
      <alignment horizontal="right" vertical="center"/>
    </xf>
    <xf numFmtId="165" fontId="9" fillId="5" borderId="4" xfId="0" applyNumberFormat="1" applyFont="1" applyFill="1" applyBorder="1" applyAlignment="1">
      <alignment horizontal="right" vertical="center"/>
    </xf>
    <xf numFmtId="0" fontId="9" fillId="2" borderId="57" xfId="0" applyFont="1" applyFill="1" applyBorder="1" applyAlignment="1">
      <alignment horizontal="center" vertical="center"/>
    </xf>
    <xf numFmtId="10" fontId="14" fillId="5" borderId="44" xfId="0" applyNumberFormat="1" applyFont="1" applyFill="1" applyBorder="1" applyAlignment="1">
      <alignment horizontal="center" vertical="center"/>
    </xf>
    <xf numFmtId="10" fontId="8" fillId="6" borderId="45" xfId="0" applyNumberFormat="1" applyFont="1" applyFill="1" applyBorder="1" applyAlignment="1">
      <alignment horizontal="center" vertical="center"/>
    </xf>
    <xf numFmtId="10" fontId="8" fillId="5" borderId="44" xfId="0" applyNumberFormat="1" applyFont="1" applyFill="1" applyBorder="1" applyAlignment="1">
      <alignment horizontal="center" vertical="center"/>
    </xf>
    <xf numFmtId="165" fontId="8" fillId="0" borderId="48" xfId="0" applyNumberFormat="1" applyFont="1" applyBorder="1" applyAlignment="1">
      <alignment horizontal="center" vertical="center"/>
    </xf>
    <xf numFmtId="165" fontId="8" fillId="5" borderId="4" xfId="0" applyNumberFormat="1" applyFont="1" applyFill="1" applyBorder="1" applyAlignment="1">
      <alignment horizontal="center" vertical="center"/>
    </xf>
    <xf numFmtId="20" fontId="8" fillId="0" borderId="14" xfId="0" applyNumberFormat="1" applyFont="1" applyBorder="1" applyAlignment="1">
      <alignment horizontal="center" vertical="center"/>
    </xf>
    <xf numFmtId="165" fontId="9" fillId="13" borderId="34" xfId="0" applyNumberFormat="1" applyFont="1" applyFill="1" applyBorder="1" applyAlignment="1">
      <alignment horizontal="center" vertical="center"/>
    </xf>
    <xf numFmtId="170" fontId="9" fillId="13" borderId="34" xfId="0" applyNumberFormat="1" applyFont="1" applyFill="1" applyBorder="1" applyAlignment="1">
      <alignment horizontal="center" vertical="center"/>
    </xf>
    <xf numFmtId="165" fontId="9" fillId="14" borderId="34" xfId="0" applyNumberFormat="1" applyFont="1" applyFill="1" applyBorder="1" applyAlignment="1">
      <alignment horizontal="center" vertical="center"/>
    </xf>
    <xf numFmtId="14" fontId="9" fillId="13" borderId="35" xfId="0" applyNumberFormat="1" applyFont="1" applyFill="1" applyBorder="1" applyAlignment="1">
      <alignment horizontal="center" vertical="center"/>
    </xf>
    <xf numFmtId="1" fontId="8" fillId="16" borderId="38" xfId="3" applyNumberFormat="1" applyFont="1" applyFill="1" applyBorder="1" applyAlignment="1">
      <alignment horizontal="center" vertical="center"/>
    </xf>
    <xf numFmtId="165" fontId="8" fillId="19" borderId="34" xfId="0" applyNumberFormat="1" applyFont="1" applyFill="1" applyBorder="1" applyAlignment="1">
      <alignment vertical="center"/>
    </xf>
    <xf numFmtId="165" fontId="8" fillId="19" borderId="47" xfId="0" applyNumberFormat="1" applyFont="1" applyFill="1" applyBorder="1" applyAlignment="1">
      <alignment vertical="center"/>
    </xf>
    <xf numFmtId="165" fontId="9" fillId="19" borderId="4" xfId="0" applyNumberFormat="1" applyFont="1" applyFill="1" applyBorder="1" applyAlignment="1">
      <alignment vertical="center"/>
    </xf>
    <xf numFmtId="0" fontId="8" fillId="19" borderId="4" xfId="0" applyFont="1" applyFill="1" applyBorder="1" applyAlignment="1">
      <alignment horizontal="center" vertical="center"/>
    </xf>
    <xf numFmtId="167" fontId="8" fillId="6" borderId="39" xfId="0" applyNumberFormat="1" applyFont="1" applyFill="1" applyBorder="1" applyAlignment="1">
      <alignment horizontal="center" vertical="center"/>
    </xf>
    <xf numFmtId="10" fontId="8" fillId="0" borderId="35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8" fillId="5" borderId="78" xfId="0" applyFont="1" applyFill="1" applyBorder="1" applyAlignment="1">
      <alignment vertical="center"/>
    </xf>
    <xf numFmtId="0" fontId="8" fillId="5" borderId="79" xfId="0" applyFont="1" applyFill="1" applyBorder="1" applyAlignment="1">
      <alignment vertical="center"/>
    </xf>
    <xf numFmtId="0" fontId="8" fillId="5" borderId="42" xfId="0" applyFont="1" applyFill="1" applyBorder="1" applyAlignment="1">
      <alignment horizontal="center" vertical="center"/>
    </xf>
    <xf numFmtId="10" fontId="8" fillId="0" borderId="16" xfId="0" applyNumberFormat="1" applyFont="1" applyBorder="1" applyAlignment="1">
      <alignment horizontal="center" vertical="center"/>
    </xf>
    <xf numFmtId="169" fontId="8" fillId="6" borderId="34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165" fontId="8" fillId="0" borderId="34" xfId="0" applyNumberFormat="1" applyFont="1" applyBorder="1" applyAlignment="1">
      <alignment horizontal="center" vertical="center"/>
    </xf>
    <xf numFmtId="165" fontId="8" fillId="0" borderId="47" xfId="0" applyNumberFormat="1" applyFont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9" fillId="8" borderId="4" xfId="0" applyNumberFormat="1" applyFont="1" applyFill="1" applyBorder="1" applyAlignment="1">
      <alignment horizontal="center" vertical="center"/>
    </xf>
    <xf numFmtId="0" fontId="28" fillId="0" borderId="0" xfId="0" applyFont="1" applyAlignment="1"/>
    <xf numFmtId="170" fontId="22" fillId="12" borderId="3" xfId="3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170" fontId="22" fillId="12" borderId="9" xfId="3" applyNumberFormat="1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170" fontId="22" fillId="12" borderId="14" xfId="3" applyNumberFormat="1" applyFont="1" applyFill="1" applyBorder="1" applyAlignment="1">
      <alignment horizontal="center" vertical="center"/>
    </xf>
    <xf numFmtId="164" fontId="26" fillId="21" borderId="4" xfId="3" applyFont="1" applyFill="1" applyBorder="1" applyAlignment="1">
      <alignment horizontal="center" vertical="center"/>
    </xf>
    <xf numFmtId="0" fontId="9" fillId="14" borderId="6" xfId="0" applyFont="1" applyFill="1" applyBorder="1" applyAlignment="1">
      <alignment vertical="center"/>
    </xf>
    <xf numFmtId="0" fontId="9" fillId="14" borderId="0" xfId="0" applyFont="1" applyFill="1" applyBorder="1" applyAlignment="1">
      <alignment vertical="center"/>
    </xf>
    <xf numFmtId="10" fontId="8" fillId="12" borderId="67" xfId="0" applyNumberFormat="1" applyFont="1" applyFill="1" applyBorder="1" applyAlignment="1">
      <alignment horizontal="center" vertical="center"/>
    </xf>
    <xf numFmtId="10" fontId="8" fillId="12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170" fontId="22" fillId="12" borderId="42" xfId="3" applyNumberFormat="1" applyFont="1" applyFill="1" applyBorder="1" applyAlignment="1">
      <alignment horizontal="center" vertical="center"/>
    </xf>
    <xf numFmtId="164" fontId="26" fillId="16" borderId="0" xfId="3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165" fontId="9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3" borderId="10" xfId="0" applyFont="1" applyFill="1" applyBorder="1" applyAlignment="1">
      <alignment horizontal="center" vertical="center"/>
    </xf>
    <xf numFmtId="9" fontId="8" fillId="22" borderId="14" xfId="0" applyNumberFormat="1" applyFont="1" applyFill="1" applyBorder="1" applyAlignment="1">
      <alignment horizontal="center" vertical="center"/>
    </xf>
    <xf numFmtId="169" fontId="8" fillId="0" borderId="14" xfId="0" applyNumberFormat="1" applyFont="1" applyBorder="1" applyAlignment="1">
      <alignment horizontal="center" vertical="center"/>
    </xf>
    <xf numFmtId="10" fontId="8" fillId="6" borderId="15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9" borderId="3" xfId="0" applyFont="1" applyFill="1" applyBorder="1" applyAlignment="1">
      <alignment horizontal="left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2" fillId="10" borderId="3" xfId="0" applyFont="1" applyFill="1" applyBorder="1" applyAlignment="1">
      <alignment horizontal="center" vertical="center" wrapText="1"/>
    </xf>
    <xf numFmtId="0" fontId="22" fillId="10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9" borderId="37" xfId="0" applyFont="1" applyFill="1" applyBorder="1" applyAlignment="1">
      <alignment horizontal="left" vertical="center" wrapText="1"/>
    </xf>
    <xf numFmtId="0" fontId="22" fillId="9" borderId="37" xfId="0" applyFont="1" applyFill="1" applyBorder="1" applyAlignment="1">
      <alignment horizontal="center" vertical="center" wrapText="1"/>
    </xf>
    <xf numFmtId="0" fontId="22" fillId="10" borderId="42" xfId="0" applyFont="1" applyFill="1" applyBorder="1" applyAlignment="1">
      <alignment horizontal="left" vertical="center" wrapText="1"/>
    </xf>
    <xf numFmtId="165" fontId="26" fillId="8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165" fontId="9" fillId="3" borderId="39" xfId="0" applyNumberFormat="1" applyFont="1" applyFill="1" applyBorder="1" applyAlignment="1">
      <alignment horizontal="center" vertical="center"/>
    </xf>
    <xf numFmtId="0" fontId="9" fillId="19" borderId="11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left" vertical="center"/>
    </xf>
    <xf numFmtId="0" fontId="34" fillId="0" borderId="84" xfId="0" applyFont="1" applyBorder="1" applyAlignment="1">
      <alignment horizontal="center" vertical="center"/>
    </xf>
    <xf numFmtId="175" fontId="34" fillId="0" borderId="0" xfId="9" applyNumberFormat="1" applyFont="1" applyAlignment="1">
      <alignment horizontal="center" vertical="center"/>
    </xf>
    <xf numFmtId="170" fontId="34" fillId="0" borderId="0" xfId="9" applyNumberFormat="1" applyFont="1" applyAlignment="1">
      <alignment horizontal="center" vertical="center"/>
    </xf>
    <xf numFmtId="0" fontId="34" fillId="0" borderId="85" xfId="0" applyFont="1" applyBorder="1" applyAlignment="1">
      <alignment horizontal="left" vertical="center"/>
    </xf>
    <xf numFmtId="0" fontId="22" fillId="0" borderId="61" xfId="0" applyFont="1" applyBorder="1"/>
    <xf numFmtId="0" fontId="22" fillId="0" borderId="0" xfId="0" applyFont="1" applyBorder="1"/>
    <xf numFmtId="0" fontId="22" fillId="0" borderId="76" xfId="0" applyFont="1" applyBorder="1"/>
    <xf numFmtId="0" fontId="22" fillId="0" borderId="6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76" xfId="0" applyFont="1" applyBorder="1" applyAlignment="1">
      <alignment horizontal="left" vertical="center" wrapText="1"/>
    </xf>
    <xf numFmtId="0" fontId="22" fillId="0" borderId="61" xfId="0" applyFont="1" applyBorder="1" applyAlignment="1">
      <alignment horizontal="center"/>
    </xf>
    <xf numFmtId="0" fontId="22" fillId="0" borderId="70" xfId="0" applyFont="1" applyBorder="1"/>
    <xf numFmtId="0" fontId="22" fillId="0" borderId="75" xfId="0" applyFont="1" applyBorder="1"/>
    <xf numFmtId="0" fontId="22" fillId="0" borderId="73" xfId="0" applyFont="1" applyBorder="1"/>
    <xf numFmtId="0" fontId="22" fillId="0" borderId="0" xfId="0" applyFont="1"/>
    <xf numFmtId="0" fontId="37" fillId="0" borderId="6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5" fontId="8" fillId="0" borderId="39" xfId="0" applyNumberFormat="1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center" wrapText="1"/>
    </xf>
    <xf numFmtId="49" fontId="38" fillId="0" borderId="3" xfId="0" applyNumberFormat="1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9" fontId="8" fillId="7" borderId="34" xfId="0" applyNumberFormat="1" applyFont="1" applyFill="1" applyBorder="1" applyAlignment="1">
      <alignment horizontal="center" vertical="center"/>
    </xf>
    <xf numFmtId="169" fontId="8" fillId="6" borderId="39" xfId="0" applyNumberFormat="1" applyFont="1" applyFill="1" applyBorder="1" applyAlignment="1">
      <alignment horizontal="center" vertical="center"/>
    </xf>
    <xf numFmtId="165" fontId="9" fillId="6" borderId="47" xfId="0" applyNumberFormat="1" applyFont="1" applyFill="1" applyBorder="1" applyAlignment="1">
      <alignment horizontal="center" vertical="center"/>
    </xf>
    <xf numFmtId="0" fontId="39" fillId="0" borderId="6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76" xfId="0" applyFont="1" applyBorder="1" applyAlignment="1">
      <alignment horizontal="center"/>
    </xf>
    <xf numFmtId="0" fontId="22" fillId="0" borderId="0" xfId="0" applyFont="1"/>
    <xf numFmtId="0" fontId="9" fillId="6" borderId="3" xfId="0" applyFont="1" applyFill="1" applyBorder="1" applyAlignment="1">
      <alignment horizontal="left" vertical="center"/>
    </xf>
    <xf numFmtId="0" fontId="9" fillId="20" borderId="71" xfId="0" applyFont="1" applyFill="1" applyBorder="1" applyAlignment="1">
      <alignment horizontal="center" vertical="center"/>
    </xf>
    <xf numFmtId="0" fontId="9" fillId="20" borderId="74" xfId="0" applyFont="1" applyFill="1" applyBorder="1" applyAlignment="1">
      <alignment horizontal="center" vertical="center"/>
    </xf>
    <xf numFmtId="0" fontId="9" fillId="20" borderId="23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165" fontId="26" fillId="8" borderId="87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/>
    <xf numFmtId="0" fontId="22" fillId="0" borderId="3" xfId="0" applyFont="1" applyBorder="1"/>
    <xf numFmtId="0" fontId="22" fillId="27" borderId="3" xfId="0" applyFont="1" applyFill="1" applyBorder="1"/>
    <xf numFmtId="0" fontId="26" fillId="2" borderId="3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9" fillId="17" borderId="0" xfId="0" applyFont="1" applyFill="1" applyBorder="1" applyAlignment="1">
      <alignment horizontal="center" vertical="center"/>
    </xf>
    <xf numFmtId="165" fontId="9" fillId="16" borderId="47" xfId="0" applyNumberFormat="1" applyFont="1" applyFill="1" applyBorder="1" applyAlignment="1">
      <alignment horizontal="center" vertical="center"/>
    </xf>
    <xf numFmtId="165" fontId="9" fillId="0" borderId="39" xfId="0" applyNumberFormat="1" applyFont="1" applyFill="1" applyBorder="1" applyAlignment="1">
      <alignment horizontal="center" vertical="center"/>
    </xf>
    <xf numFmtId="167" fontId="22" fillId="0" borderId="16" xfId="0" applyNumberFormat="1" applyFont="1" applyBorder="1" applyAlignment="1">
      <alignment horizontal="center"/>
    </xf>
    <xf numFmtId="0" fontId="9" fillId="3" borderId="64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0" fillId="0" borderId="0" xfId="0" applyBorder="1"/>
    <xf numFmtId="0" fontId="29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29" borderId="85" xfId="0" applyFont="1" applyFill="1" applyBorder="1" applyAlignment="1">
      <alignment horizontal="center" vertical="center"/>
    </xf>
    <xf numFmtId="0" fontId="29" fillId="29" borderId="84" xfId="0" applyFont="1" applyFill="1" applyBorder="1" applyAlignment="1">
      <alignment horizontal="justify" vertical="justify"/>
    </xf>
    <xf numFmtId="0" fontId="29" fillId="29" borderId="84" xfId="0" applyFont="1" applyFill="1" applyBorder="1" applyAlignment="1">
      <alignment horizontal="center" vertical="center" wrapText="1"/>
    </xf>
    <xf numFmtId="0" fontId="29" fillId="29" borderId="84" xfId="0" applyFont="1" applyFill="1" applyBorder="1" applyAlignment="1">
      <alignment horizontal="center" vertical="center"/>
    </xf>
    <xf numFmtId="0" fontId="29" fillId="29" borderId="95" xfId="0" applyFont="1" applyFill="1" applyBorder="1" applyAlignment="1">
      <alignment horizontal="center" vertical="center"/>
    </xf>
    <xf numFmtId="0" fontId="29" fillId="29" borderId="94" xfId="0" applyFont="1" applyFill="1" applyBorder="1" applyAlignment="1">
      <alignment horizontal="center" vertical="center"/>
    </xf>
    <xf numFmtId="0" fontId="29" fillId="29" borderId="3" xfId="0" applyFont="1" applyFill="1" applyBorder="1" applyAlignment="1">
      <alignment horizontal="center" vertical="center"/>
    </xf>
    <xf numFmtId="0" fontId="29" fillId="29" borderId="42" xfId="0" applyFont="1" applyFill="1" applyBorder="1" applyAlignment="1">
      <alignment horizontal="center" vertical="center"/>
    </xf>
    <xf numFmtId="0" fontId="34" fillId="0" borderId="95" xfId="0" applyFont="1" applyBorder="1" applyAlignment="1">
      <alignment horizontal="left" vertical="center"/>
    </xf>
    <xf numFmtId="0" fontId="29" fillId="16" borderId="3" xfId="0" applyFont="1" applyFill="1" applyBorder="1" applyAlignment="1">
      <alignment horizontal="center"/>
    </xf>
    <xf numFmtId="0" fontId="26" fillId="16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165" fontId="9" fillId="17" borderId="3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8" fillId="0" borderId="10" xfId="0" applyNumberFormat="1" applyFont="1" applyFill="1" applyBorder="1" applyAlignment="1">
      <alignment horizontal="center" vertical="center"/>
    </xf>
    <xf numFmtId="4" fontId="26" fillId="21" borderId="3" xfId="3" applyNumberFormat="1" applyFont="1" applyFill="1" applyBorder="1" applyAlignment="1">
      <alignment horizontal="center" vertical="center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9" fillId="16" borderId="0" xfId="0" applyNumberFormat="1" applyFont="1" applyFill="1" applyBorder="1" applyAlignment="1">
      <alignment horizontal="center" vertical="center"/>
    </xf>
    <xf numFmtId="165" fontId="9" fillId="3" borderId="3" xfId="0" applyNumberFormat="1" applyFont="1" applyFill="1" applyBorder="1" applyAlignment="1">
      <alignment horizontal="center" vertical="center"/>
    </xf>
    <xf numFmtId="165" fontId="9" fillId="12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22" fillId="16" borderId="0" xfId="0" applyFont="1" applyFill="1"/>
    <xf numFmtId="167" fontId="0" fillId="0" borderId="17" xfId="0" applyNumberFormat="1" applyBorder="1" applyAlignment="1">
      <alignment horizontal="center"/>
    </xf>
    <xf numFmtId="10" fontId="8" fillId="0" borderId="0" xfId="0" applyNumberFormat="1" applyFont="1" applyFill="1" applyBorder="1" applyAlignment="1">
      <alignment horizontal="center" vertical="center"/>
    </xf>
    <xf numFmtId="10" fontId="8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0" fontId="53" fillId="13" borderId="34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13" borderId="34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justify" vertical="justify"/>
    </xf>
    <xf numFmtId="49" fontId="9" fillId="13" borderId="35" xfId="0" applyNumberFormat="1" applyFont="1" applyFill="1" applyBorder="1" applyAlignment="1">
      <alignment horizontal="center" vertical="center"/>
    </xf>
    <xf numFmtId="0" fontId="9" fillId="14" borderId="65" xfId="0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9" fillId="32" borderId="39" xfId="0" applyNumberFormat="1" applyFont="1" applyFill="1" applyBorder="1" applyAlignment="1">
      <alignment horizontal="center" vertical="center"/>
    </xf>
    <xf numFmtId="165" fontId="8" fillId="19" borderId="39" xfId="0" applyNumberFormat="1" applyFont="1" applyFill="1" applyBorder="1" applyAlignment="1">
      <alignment vertical="center"/>
    </xf>
    <xf numFmtId="165" fontId="9" fillId="17" borderId="0" xfId="0" applyNumberFormat="1" applyFont="1" applyFill="1" applyBorder="1" applyAlignment="1">
      <alignment horizontal="center" vertical="center"/>
    </xf>
    <xf numFmtId="165" fontId="8" fillId="14" borderId="0" xfId="0" applyNumberFormat="1" applyFont="1" applyFill="1" applyBorder="1" applyAlignment="1">
      <alignment horizontal="right" vertical="center"/>
    </xf>
    <xf numFmtId="165" fontId="9" fillId="30" borderId="0" xfId="0" applyNumberFormat="1" applyFont="1" applyFill="1" applyBorder="1" applyAlignment="1">
      <alignment horizontal="right" vertical="center"/>
    </xf>
    <xf numFmtId="165" fontId="10" fillId="33" borderId="87" xfId="0" applyNumberFormat="1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178" fontId="9" fillId="2" borderId="42" xfId="0" applyNumberFormat="1" applyFont="1" applyFill="1" applyBorder="1" applyAlignment="1">
      <alignment horizontal="center" vertical="center"/>
    </xf>
    <xf numFmtId="165" fontId="10" fillId="33" borderId="25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9" fillId="14" borderId="0" xfId="0" applyFont="1" applyFill="1" applyBorder="1" applyAlignment="1">
      <alignment horizontal="center" vertical="center" wrapText="1"/>
    </xf>
    <xf numFmtId="165" fontId="9" fillId="14" borderId="0" xfId="0" applyNumberFormat="1" applyFont="1" applyFill="1" applyBorder="1" applyAlignment="1">
      <alignment horizontal="center" vertical="center" wrapText="1"/>
    </xf>
    <xf numFmtId="0" fontId="9" fillId="14" borderId="0" xfId="0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center" vertical="center"/>
    </xf>
    <xf numFmtId="165" fontId="8" fillId="16" borderId="0" xfId="0" applyNumberFormat="1" applyFont="1" applyFill="1" applyBorder="1" applyAlignment="1">
      <alignment horizontal="center" vertical="center"/>
    </xf>
    <xf numFmtId="0" fontId="9" fillId="16" borderId="0" xfId="0" applyFont="1" applyFill="1" applyBorder="1" applyAlignment="1">
      <alignment horizontal="center" vertical="center"/>
    </xf>
    <xf numFmtId="0" fontId="9" fillId="30" borderId="0" xfId="0" applyFont="1" applyFill="1" applyBorder="1" applyAlignment="1">
      <alignment horizontal="center" vertical="center"/>
    </xf>
    <xf numFmtId="165" fontId="9" fillId="30" borderId="0" xfId="0" applyNumberFormat="1" applyFont="1" applyFill="1" applyBorder="1" applyAlignment="1">
      <alignment horizontal="center" vertical="center"/>
    </xf>
    <xf numFmtId="170" fontId="29" fillId="29" borderId="84" xfId="0" applyNumberFormat="1" applyFont="1" applyFill="1" applyBorder="1" applyAlignment="1">
      <alignment horizontal="center" vertical="center" wrapText="1"/>
    </xf>
    <xf numFmtId="170" fontId="29" fillId="29" borderId="94" xfId="0" applyNumberFormat="1" applyFont="1" applyFill="1" applyBorder="1" applyAlignment="1">
      <alignment horizontal="center" vertical="center" wrapText="1"/>
    </xf>
    <xf numFmtId="165" fontId="55" fillId="33" borderId="56" xfId="0" applyNumberFormat="1" applyFont="1" applyFill="1" applyBorder="1" applyAlignment="1">
      <alignment horizontal="center" vertical="center"/>
    </xf>
    <xf numFmtId="0" fontId="47" fillId="34" borderId="54" xfId="0" applyFont="1" applyFill="1" applyBorder="1"/>
    <xf numFmtId="165" fontId="47" fillId="34" borderId="56" xfId="0" applyNumberFormat="1" applyFont="1" applyFill="1" applyBorder="1"/>
    <xf numFmtId="170" fontId="57" fillId="16" borderId="3" xfId="0" applyNumberFormat="1" applyFont="1" applyFill="1" applyBorder="1" applyAlignment="1">
      <alignment horizontal="center"/>
    </xf>
    <xf numFmtId="7" fontId="57" fillId="16" borderId="3" xfId="0" applyNumberFormat="1" applyFont="1" applyFill="1" applyBorder="1" applyAlignment="1">
      <alignment horizontal="center"/>
    </xf>
    <xf numFmtId="169" fontId="22" fillId="0" borderId="0" xfId="0" applyNumberFormat="1" applyFont="1"/>
    <xf numFmtId="0" fontId="0" fillId="0" borderId="0" xfId="0" applyBorder="1" applyAlignment="1"/>
    <xf numFmtId="0" fontId="8" fillId="6" borderId="16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8" fillId="6" borderId="37" xfId="0" applyFont="1" applyFill="1" applyBorder="1" applyAlignment="1">
      <alignment horizontal="left" vertical="center"/>
    </xf>
    <xf numFmtId="10" fontId="2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8" fillId="18" borderId="0" xfId="0" applyFont="1" applyFill="1" applyBorder="1" applyAlignment="1">
      <alignment horizontal="center" vertical="center"/>
    </xf>
    <xf numFmtId="170" fontId="8" fillId="18" borderId="0" xfId="0" applyNumberFormat="1" applyFont="1" applyFill="1" applyBorder="1" applyAlignment="1">
      <alignment horizontal="center" vertical="center"/>
    </xf>
    <xf numFmtId="4" fontId="26" fillId="16" borderId="0" xfId="3" applyNumberFormat="1" applyFont="1" applyFill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left" vertical="center"/>
    </xf>
    <xf numFmtId="0" fontId="58" fillId="0" borderId="3" xfId="0" applyFont="1" applyBorder="1"/>
    <xf numFmtId="0" fontId="8" fillId="6" borderId="42" xfId="0" applyFont="1" applyFill="1" applyBorder="1" applyAlignment="1">
      <alignment horizontal="left" vertical="center"/>
    </xf>
    <xf numFmtId="0" fontId="8" fillId="5" borderId="61" xfId="0" applyFont="1" applyFill="1" applyBorder="1" applyAlignment="1">
      <alignment vertical="center"/>
    </xf>
    <xf numFmtId="0" fontId="8" fillId="5" borderId="58" xfId="0" applyFont="1" applyFill="1" applyBorder="1" applyAlignment="1">
      <alignment horizontal="center" vertical="center"/>
    </xf>
    <xf numFmtId="167" fontId="22" fillId="0" borderId="17" xfId="0" applyNumberFormat="1" applyFont="1" applyBorder="1" applyAlignment="1">
      <alignment horizontal="center" vertical="center"/>
    </xf>
    <xf numFmtId="10" fontId="0" fillId="0" borderId="17" xfId="0" applyNumberFormat="1" applyFont="1" applyBorder="1" applyAlignment="1">
      <alignment horizontal="center" vertical="center"/>
    </xf>
    <xf numFmtId="167" fontId="0" fillId="0" borderId="17" xfId="0" applyNumberFormat="1" applyFont="1" applyBorder="1" applyAlignment="1">
      <alignment horizontal="center" vertical="center"/>
    </xf>
    <xf numFmtId="0" fontId="52" fillId="35" borderId="107" xfId="0" applyFont="1" applyFill="1" applyBorder="1" applyAlignment="1">
      <alignment horizontal="justify" vertical="center" wrapText="1"/>
    </xf>
    <xf numFmtId="165" fontId="34" fillId="12" borderId="16" xfId="0" applyNumberFormat="1" applyFont="1" applyFill="1" applyBorder="1" applyAlignment="1">
      <alignment horizontal="center" vertical="center" wrapText="1"/>
    </xf>
    <xf numFmtId="165" fontId="34" fillId="8" borderId="43" xfId="0" applyNumberFormat="1" applyFont="1" applyFill="1" applyBorder="1" applyAlignment="1">
      <alignment horizontal="center" vertical="center" wrapText="1"/>
    </xf>
    <xf numFmtId="165" fontId="34" fillId="8" borderId="12" xfId="0" applyNumberFormat="1" applyFont="1" applyFill="1" applyBorder="1" applyAlignment="1">
      <alignment horizontal="center" vertical="center" wrapText="1"/>
    </xf>
    <xf numFmtId="165" fontId="60" fillId="12" borderId="16" xfId="0" applyNumberFormat="1" applyFont="1" applyFill="1" applyBorder="1" applyAlignment="1">
      <alignment horizontal="center" vertical="center" wrapText="1"/>
    </xf>
    <xf numFmtId="165" fontId="34" fillId="8" borderId="16" xfId="0" applyNumberFormat="1" applyFont="1" applyFill="1" applyBorder="1" applyAlignment="1">
      <alignment horizontal="center" vertical="center" wrapText="1"/>
    </xf>
    <xf numFmtId="0" fontId="34" fillId="12" borderId="3" xfId="0" applyFont="1" applyFill="1" applyBorder="1" applyAlignment="1">
      <alignment horizontal="center" vertical="center"/>
    </xf>
    <xf numFmtId="165" fontId="34" fillId="12" borderId="40" xfId="0" applyNumberFormat="1" applyFont="1" applyFill="1" applyBorder="1" applyAlignment="1">
      <alignment horizontal="center" vertical="center" wrapText="1"/>
    </xf>
    <xf numFmtId="165" fontId="34" fillId="8" borderId="15" xfId="0" applyNumberFormat="1" applyFont="1" applyFill="1" applyBorder="1" applyAlignment="1">
      <alignment horizontal="center" vertical="center" wrapText="1"/>
    </xf>
    <xf numFmtId="165" fontId="26" fillId="30" borderId="87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Border="1"/>
    <xf numFmtId="176" fontId="22" fillId="16" borderId="0" xfId="0" applyNumberFormat="1" applyFont="1" applyFill="1" applyBorder="1" applyAlignment="1"/>
    <xf numFmtId="0" fontId="22" fillId="16" borderId="0" xfId="0" applyFont="1" applyFill="1" applyBorder="1"/>
    <xf numFmtId="176" fontId="22" fillId="16" borderId="0" xfId="0" applyNumberFormat="1" applyFont="1" applyFill="1" applyBorder="1"/>
    <xf numFmtId="176" fontId="22" fillId="16" borderId="34" xfId="0" applyNumberFormat="1" applyFont="1" applyFill="1" applyBorder="1" applyAlignment="1"/>
    <xf numFmtId="176" fontId="22" fillId="16" borderId="34" xfId="0" applyNumberFormat="1" applyFont="1" applyFill="1" applyBorder="1"/>
    <xf numFmtId="176" fontId="22" fillId="31" borderId="34" xfId="0" applyNumberFormat="1" applyFont="1" applyFill="1" applyBorder="1"/>
    <xf numFmtId="165" fontId="26" fillId="26" borderId="35" xfId="0" applyNumberFormat="1" applyFont="1" applyFill="1" applyBorder="1"/>
    <xf numFmtId="176" fontId="22" fillId="0" borderId="34" xfId="0" applyNumberFormat="1" applyFont="1" applyBorder="1"/>
    <xf numFmtId="0" fontId="26" fillId="0" borderId="0" xfId="0" applyFont="1" applyBorder="1" applyAlignment="1">
      <alignment horizontal="center" vertical="center"/>
    </xf>
    <xf numFmtId="170" fontId="43" fillId="12" borderId="3" xfId="0" applyNumberFormat="1" applyFont="1" applyFill="1" applyBorder="1" applyAlignment="1">
      <alignment horizontal="center" vertical="center"/>
    </xf>
    <xf numFmtId="170" fontId="43" fillId="18" borderId="10" xfId="0" applyNumberFormat="1" applyFont="1" applyFill="1" applyBorder="1" applyAlignment="1">
      <alignment horizontal="center" vertical="center"/>
    </xf>
    <xf numFmtId="0" fontId="62" fillId="0" borderId="0" xfId="10" applyFont="1" applyFill="1" applyBorder="1" applyAlignment="1">
      <alignment horizontal="center" vertical="center" wrapText="1"/>
    </xf>
    <xf numFmtId="170" fontId="43" fillId="18" borderId="31" xfId="0" applyNumberFormat="1" applyFont="1" applyFill="1" applyBorder="1" applyAlignment="1">
      <alignment horizontal="center" vertical="center"/>
    </xf>
    <xf numFmtId="0" fontId="62" fillId="0" borderId="56" xfId="10" applyFont="1" applyBorder="1" applyAlignment="1">
      <alignment horizontal="center" vertical="center" wrapText="1"/>
    </xf>
    <xf numFmtId="0" fontId="62" fillId="0" borderId="7" xfId="10" applyFont="1" applyBorder="1" applyAlignment="1">
      <alignment horizontal="center" vertical="center" wrapText="1"/>
    </xf>
    <xf numFmtId="0" fontId="62" fillId="0" borderId="87" xfId="10" applyFont="1" applyBorder="1" applyAlignment="1">
      <alignment horizontal="center" vertical="center" wrapText="1"/>
    </xf>
    <xf numFmtId="0" fontId="62" fillId="0" borderId="48" xfId="10" applyFont="1" applyBorder="1" applyAlignment="1">
      <alignment horizontal="center" vertical="center" wrapText="1"/>
    </xf>
    <xf numFmtId="0" fontId="62" fillId="0" borderId="67" xfId="10" applyFont="1" applyBorder="1" applyAlignment="1">
      <alignment horizontal="center" vertical="center" wrapText="1"/>
    </xf>
    <xf numFmtId="0" fontId="63" fillId="0" borderId="3" xfId="10" applyFont="1" applyBorder="1" applyAlignment="1">
      <alignment horizontal="center" vertical="center"/>
    </xf>
    <xf numFmtId="0" fontId="62" fillId="16" borderId="56" xfId="10" applyFont="1" applyFill="1" applyBorder="1" applyAlignment="1">
      <alignment horizontal="center" vertical="center" wrapText="1"/>
    </xf>
    <xf numFmtId="0" fontId="62" fillId="16" borderId="0" xfId="10" applyFont="1" applyFill="1" applyBorder="1" applyAlignment="1">
      <alignment horizontal="center" vertical="center" wrapText="1"/>
    </xf>
    <xf numFmtId="0" fontId="62" fillId="16" borderId="87" xfId="1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/>
    </xf>
    <xf numFmtId="170" fontId="43" fillId="18" borderId="50" xfId="0" applyNumberFormat="1" applyFont="1" applyFill="1" applyBorder="1" applyAlignment="1">
      <alignment horizontal="center" vertical="center"/>
    </xf>
    <xf numFmtId="0" fontId="9" fillId="20" borderId="57" xfId="0" applyFont="1" applyFill="1" applyBorder="1" applyAlignment="1">
      <alignment horizontal="center" vertical="center"/>
    </xf>
    <xf numFmtId="0" fontId="62" fillId="16" borderId="3" xfId="10" applyFont="1" applyFill="1" applyBorder="1" applyAlignment="1">
      <alignment horizontal="center" vertical="center" wrapText="1"/>
    </xf>
    <xf numFmtId="0" fontId="63" fillId="16" borderId="3" xfId="10" applyFont="1" applyFill="1" applyBorder="1" applyAlignment="1">
      <alignment horizontal="center" vertical="center"/>
    </xf>
    <xf numFmtId="170" fontId="43" fillId="18" borderId="3" xfId="0" applyNumberFormat="1" applyFont="1" applyFill="1" applyBorder="1" applyAlignment="1">
      <alignment horizontal="center" vertical="center"/>
    </xf>
    <xf numFmtId="170" fontId="43" fillId="18" borderId="49" xfId="0" applyNumberFormat="1" applyFont="1" applyFill="1" applyBorder="1" applyAlignment="1">
      <alignment horizontal="center" vertical="center"/>
    </xf>
    <xf numFmtId="0" fontId="26" fillId="0" borderId="0" xfId="0" applyFont="1" applyBorder="1"/>
    <xf numFmtId="0" fontId="26" fillId="0" borderId="33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65" fontId="34" fillId="8" borderId="109" xfId="0" applyNumberFormat="1" applyFont="1" applyFill="1" applyBorder="1" applyAlignment="1">
      <alignment horizontal="center" vertical="center" wrapText="1"/>
    </xf>
    <xf numFmtId="0" fontId="62" fillId="16" borderId="7" xfId="10" applyFont="1" applyFill="1" applyBorder="1" applyAlignment="1">
      <alignment horizontal="center" vertical="center" wrapText="1"/>
    </xf>
    <xf numFmtId="165" fontId="34" fillId="8" borderId="110" xfId="0" applyNumberFormat="1" applyFont="1" applyFill="1" applyBorder="1" applyAlignment="1">
      <alignment horizontal="center" vertical="center" wrapText="1"/>
    </xf>
    <xf numFmtId="165" fontId="34" fillId="8" borderId="108" xfId="0" applyNumberFormat="1" applyFont="1" applyFill="1" applyBorder="1" applyAlignment="1">
      <alignment horizontal="center" vertical="center" wrapText="1"/>
    </xf>
    <xf numFmtId="0" fontId="62" fillId="16" borderId="48" xfId="10" applyFont="1" applyFill="1" applyBorder="1" applyAlignment="1">
      <alignment horizontal="center" vertical="center" wrapText="1"/>
    </xf>
    <xf numFmtId="165" fontId="34" fillId="8" borderId="38" xfId="0" applyNumberFormat="1" applyFont="1" applyFill="1" applyBorder="1" applyAlignment="1">
      <alignment horizontal="center" vertical="center" wrapText="1"/>
    </xf>
    <xf numFmtId="165" fontId="34" fillId="8" borderId="3" xfId="0" applyNumberFormat="1" applyFont="1" applyFill="1" applyBorder="1" applyAlignment="1">
      <alignment horizontal="center" vertical="center" wrapText="1"/>
    </xf>
    <xf numFmtId="0" fontId="62" fillId="0" borderId="3" xfId="10" applyFont="1" applyBorder="1" applyAlignment="1">
      <alignment horizontal="center" vertical="center" wrapText="1"/>
    </xf>
    <xf numFmtId="0" fontId="1" fillId="0" borderId="0" xfId="11" applyAlignment="1">
      <alignment horizontal="center" vertical="center"/>
    </xf>
    <xf numFmtId="0" fontId="1" fillId="0" borderId="0" xfId="11" applyFill="1" applyBorder="1" applyAlignment="1">
      <alignment horizontal="center" vertical="center"/>
    </xf>
    <xf numFmtId="0" fontId="61" fillId="16" borderId="3" xfId="1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/>
    </xf>
    <xf numFmtId="4" fontId="22" fillId="0" borderId="0" xfId="0" applyNumberFormat="1" applyFont="1"/>
    <xf numFmtId="173" fontId="22" fillId="0" borderId="0" xfId="0" applyNumberFormat="1" applyFont="1"/>
    <xf numFmtId="165" fontId="9" fillId="12" borderId="53" xfId="0" applyNumberFormat="1" applyFont="1" applyFill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9" fillId="13" borderId="0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left" vertical="center"/>
    </xf>
    <xf numFmtId="4" fontId="44" fillId="12" borderId="3" xfId="0" applyNumberFormat="1" applyFont="1" applyFill="1" applyBorder="1"/>
    <xf numFmtId="170" fontId="8" fillId="0" borderId="65" xfId="0" applyNumberFormat="1" applyFont="1" applyBorder="1" applyAlignment="1">
      <alignment horizontal="center" vertical="center"/>
    </xf>
    <xf numFmtId="165" fontId="8" fillId="12" borderId="29" xfId="0" applyNumberFormat="1" applyFont="1" applyFill="1" applyBorder="1" applyAlignment="1">
      <alignment horizontal="center" vertical="center"/>
    </xf>
    <xf numFmtId="165" fontId="8" fillId="12" borderId="82" xfId="0" applyNumberFormat="1" applyFont="1" applyFill="1" applyBorder="1" applyAlignment="1">
      <alignment horizontal="center" vertical="center"/>
    </xf>
    <xf numFmtId="170" fontId="9" fillId="8" borderId="54" xfId="0" applyNumberFormat="1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/>
    </xf>
    <xf numFmtId="165" fontId="9" fillId="12" borderId="39" xfId="0" applyNumberFormat="1" applyFont="1" applyFill="1" applyBorder="1" applyAlignment="1">
      <alignment horizontal="center" vertical="center"/>
    </xf>
    <xf numFmtId="164" fontId="8" fillId="16" borderId="3" xfId="3" applyFont="1" applyFill="1" applyBorder="1" applyAlignment="1">
      <alignment horizontal="center" vertical="center"/>
    </xf>
    <xf numFmtId="165" fontId="9" fillId="16" borderId="51" xfId="0" applyNumberFormat="1" applyFont="1" applyFill="1" applyBorder="1" applyAlignment="1">
      <alignment horizontal="center" vertical="center"/>
    </xf>
    <xf numFmtId="0" fontId="19" fillId="6" borderId="40" xfId="0" applyFont="1" applyFill="1" applyBorder="1" applyAlignment="1">
      <alignment horizontal="left" vertical="center"/>
    </xf>
    <xf numFmtId="0" fontId="19" fillId="6" borderId="27" xfId="0" applyFont="1" applyFill="1" applyBorder="1" applyAlignment="1">
      <alignment horizontal="left" vertical="center"/>
    </xf>
    <xf numFmtId="9" fontId="8" fillId="12" borderId="42" xfId="8" applyFont="1" applyFill="1" applyBorder="1" applyAlignment="1">
      <alignment horizontal="center" vertical="center"/>
    </xf>
    <xf numFmtId="0" fontId="45" fillId="7" borderId="3" xfId="0" applyFont="1" applyFill="1" applyBorder="1" applyAlignment="1">
      <alignment horizontal="center" vertical="center"/>
    </xf>
    <xf numFmtId="165" fontId="9" fillId="12" borderId="51" xfId="0" applyNumberFormat="1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horizontal="center" vertical="center"/>
    </xf>
    <xf numFmtId="4" fontId="44" fillId="12" borderId="16" xfId="0" applyNumberFormat="1" applyFont="1" applyFill="1" applyBorder="1"/>
    <xf numFmtId="49" fontId="8" fillId="7" borderId="29" xfId="0" applyNumberFormat="1" applyFont="1" applyFill="1" applyBorder="1" applyAlignment="1">
      <alignment horizontal="center" vertical="center"/>
    </xf>
    <xf numFmtId="164" fontId="22" fillId="0" borderId="70" xfId="3" applyFont="1" applyBorder="1" applyAlignment="1">
      <alignment horizontal="center" vertical="center"/>
    </xf>
    <xf numFmtId="4" fontId="0" fillId="0" borderId="16" xfId="0" applyNumberFormat="1" applyBorder="1"/>
    <xf numFmtId="0" fontId="0" fillId="12" borderId="16" xfId="0" applyFill="1" applyBorder="1"/>
    <xf numFmtId="165" fontId="9" fillId="0" borderId="37" xfId="0" applyNumberFormat="1" applyFont="1" applyFill="1" applyBorder="1" applyAlignment="1">
      <alignment horizontal="center" vertical="center"/>
    </xf>
    <xf numFmtId="165" fontId="9" fillId="0" borderId="58" xfId="0" applyNumberFormat="1" applyFont="1" applyFill="1" applyBorder="1" applyAlignment="1">
      <alignment horizontal="center" vertical="center"/>
    </xf>
    <xf numFmtId="10" fontId="66" fillId="16" borderId="3" xfId="0" applyNumberFormat="1" applyFont="1" applyFill="1" applyBorder="1" applyAlignment="1">
      <alignment horizontal="center" vertical="center"/>
    </xf>
    <xf numFmtId="0" fontId="22" fillId="1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9" fillId="3" borderId="31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9" fillId="6" borderId="16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8" fillId="36" borderId="5" xfId="0" applyFont="1" applyFill="1" applyBorder="1" applyAlignment="1">
      <alignment horizontal="justify" vertical="center"/>
    </xf>
    <xf numFmtId="0" fontId="28" fillId="36" borderId="6" xfId="0" applyFont="1" applyFill="1" applyBorder="1" applyAlignment="1">
      <alignment horizontal="justify" vertical="center"/>
    </xf>
    <xf numFmtId="0" fontId="28" fillId="36" borderId="7" xfId="0" applyFont="1" applyFill="1" applyBorder="1" applyAlignment="1">
      <alignment horizontal="justify" vertical="center"/>
    </xf>
    <xf numFmtId="0" fontId="28" fillId="36" borderId="61" xfId="0" applyFont="1" applyFill="1" applyBorder="1" applyAlignment="1">
      <alignment horizontal="justify" vertical="center"/>
    </xf>
    <xf numFmtId="0" fontId="28" fillId="36" borderId="0" xfId="0" applyFont="1" applyFill="1" applyBorder="1" applyAlignment="1">
      <alignment horizontal="justify" vertical="center"/>
    </xf>
    <xf numFmtId="0" fontId="28" fillId="36" borderId="76" xfId="0" applyFont="1" applyFill="1" applyBorder="1" applyAlignment="1">
      <alignment horizontal="justify" vertical="center"/>
    </xf>
    <xf numFmtId="0" fontId="28" fillId="36" borderId="70" xfId="0" applyFont="1" applyFill="1" applyBorder="1" applyAlignment="1">
      <alignment horizontal="justify" vertical="center"/>
    </xf>
    <xf numFmtId="0" fontId="28" fillId="36" borderId="75" xfId="0" applyFont="1" applyFill="1" applyBorder="1" applyAlignment="1">
      <alignment horizontal="justify" vertical="center"/>
    </xf>
    <xf numFmtId="0" fontId="28" fillId="36" borderId="73" xfId="0" applyFont="1" applyFill="1" applyBorder="1" applyAlignment="1">
      <alignment horizontal="justify" vertical="center"/>
    </xf>
    <xf numFmtId="0" fontId="9" fillId="3" borderId="54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9" fillId="6" borderId="38" xfId="0" applyFont="1" applyFill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0" fillId="31" borderId="45" xfId="0" applyFill="1" applyBorder="1" applyAlignment="1"/>
    <xf numFmtId="0" fontId="0" fillId="31" borderId="38" xfId="0" applyFill="1" applyBorder="1" applyAlignment="1"/>
    <xf numFmtId="165" fontId="9" fillId="16" borderId="47" xfId="0" applyNumberFormat="1" applyFont="1" applyFill="1" applyBorder="1" applyAlignment="1">
      <alignment horizontal="center" vertical="center"/>
    </xf>
    <xf numFmtId="165" fontId="9" fillId="16" borderId="39" xfId="0" applyNumberFormat="1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16" xfId="0" applyFont="1" applyFill="1" applyBorder="1" applyAlignment="1">
      <alignment horizontal="left" vertical="center"/>
    </xf>
    <xf numFmtId="0" fontId="19" fillId="6" borderId="17" xfId="0" applyFont="1" applyFill="1" applyBorder="1" applyAlignment="1">
      <alignment horizontal="left" vertical="center"/>
    </xf>
    <xf numFmtId="0" fontId="19" fillId="6" borderId="18" xfId="0" applyFont="1" applyFill="1" applyBorder="1" applyAlignment="1">
      <alignment horizontal="left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16" borderId="5" xfId="0" applyFont="1" applyFill="1" applyBorder="1" applyAlignment="1">
      <alignment horizontal="center" vertical="center"/>
    </xf>
    <xf numFmtId="0" fontId="9" fillId="16" borderId="6" xfId="0" applyFont="1" applyFill="1" applyBorder="1" applyAlignment="1">
      <alignment horizontal="center" vertical="center"/>
    </xf>
    <xf numFmtId="0" fontId="8" fillId="15" borderId="32" xfId="0" applyFont="1" applyFill="1" applyBorder="1" applyAlignment="1">
      <alignment horizontal="center" vertical="center"/>
    </xf>
    <xf numFmtId="0" fontId="8" fillId="15" borderId="52" xfId="0" applyFont="1" applyFill="1" applyBorder="1" applyAlignment="1">
      <alignment horizontal="center" vertical="center"/>
    </xf>
    <xf numFmtId="10" fontId="8" fillId="15" borderId="16" xfId="8" applyNumberFormat="1" applyFont="1" applyFill="1" applyBorder="1" applyAlignment="1">
      <alignment horizontal="center" vertical="center"/>
    </xf>
    <xf numFmtId="10" fontId="8" fillId="15" borderId="17" xfId="8" applyNumberFormat="1" applyFont="1" applyFill="1" applyBorder="1" applyAlignment="1">
      <alignment horizontal="center" vertical="center"/>
    </xf>
    <xf numFmtId="10" fontId="8" fillId="15" borderId="18" xfId="8" applyNumberFormat="1" applyFont="1" applyFill="1" applyBorder="1" applyAlignment="1">
      <alignment horizontal="center" vertical="center"/>
    </xf>
    <xf numFmtId="0" fontId="8" fillId="15" borderId="16" xfId="0" applyFont="1" applyFill="1" applyBorder="1" applyAlignment="1">
      <alignment horizontal="center" vertical="center"/>
    </xf>
    <xf numFmtId="0" fontId="8" fillId="15" borderId="17" xfId="0" applyFont="1" applyFill="1" applyBorder="1" applyAlignment="1">
      <alignment horizontal="center" vertical="center"/>
    </xf>
    <xf numFmtId="0" fontId="8" fillId="6" borderId="64" xfId="0" applyFont="1" applyFill="1" applyBorder="1" applyAlignment="1">
      <alignment horizontal="justify" vertical="center" wrapText="1"/>
    </xf>
    <xf numFmtId="0" fontId="8" fillId="6" borderId="49" xfId="0" applyFont="1" applyFill="1" applyBorder="1" applyAlignment="1">
      <alignment horizontal="justify" vertical="center" wrapText="1"/>
    </xf>
    <xf numFmtId="0" fontId="8" fillId="6" borderId="19" xfId="0" applyFont="1" applyFill="1" applyBorder="1" applyAlignment="1">
      <alignment horizontal="justify" vertical="center" wrapText="1"/>
    </xf>
    <xf numFmtId="0" fontId="8" fillId="6" borderId="29" xfId="0" applyFont="1" applyFill="1" applyBorder="1" applyAlignment="1">
      <alignment horizontal="justify" vertical="center"/>
    </xf>
    <xf numFmtId="0" fontId="8" fillId="6" borderId="17" xfId="0" applyFont="1" applyFill="1" applyBorder="1" applyAlignment="1">
      <alignment horizontal="justify" vertical="center"/>
    </xf>
    <xf numFmtId="0" fontId="8" fillId="6" borderId="18" xfId="0" applyFont="1" applyFill="1" applyBorder="1" applyAlignment="1">
      <alignment horizontal="justify" vertical="center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65" fillId="37" borderId="5" xfId="0" applyFont="1" applyFill="1" applyBorder="1" applyAlignment="1">
      <alignment horizontal="justify" vertical="justify"/>
    </xf>
    <xf numFmtId="0" fontId="65" fillId="37" borderId="7" xfId="0" applyFont="1" applyFill="1" applyBorder="1" applyAlignment="1">
      <alignment horizontal="justify" vertical="justify"/>
    </xf>
    <xf numFmtId="0" fontId="65" fillId="37" borderId="61" xfId="0" applyFont="1" applyFill="1" applyBorder="1" applyAlignment="1">
      <alignment horizontal="justify" vertical="justify"/>
    </xf>
    <xf numFmtId="0" fontId="65" fillId="37" borderId="76" xfId="0" applyFont="1" applyFill="1" applyBorder="1" applyAlignment="1">
      <alignment horizontal="justify" vertical="justify"/>
    </xf>
    <xf numFmtId="0" fontId="65" fillId="37" borderId="70" xfId="0" applyFont="1" applyFill="1" applyBorder="1" applyAlignment="1">
      <alignment horizontal="justify" vertical="justify"/>
    </xf>
    <xf numFmtId="0" fontId="65" fillId="37" borderId="73" xfId="0" applyFont="1" applyFill="1" applyBorder="1" applyAlignment="1">
      <alignment horizontal="justify" vertical="justify"/>
    </xf>
    <xf numFmtId="0" fontId="17" fillId="6" borderId="44" xfId="0" applyFont="1" applyFill="1" applyBorder="1" applyAlignment="1">
      <alignment horizontal="center"/>
    </xf>
    <xf numFmtId="0" fontId="17" fillId="6" borderId="55" xfId="0" applyFont="1" applyFill="1" applyBorder="1" applyAlignment="1">
      <alignment horizontal="center"/>
    </xf>
    <xf numFmtId="0" fontId="17" fillId="6" borderId="56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justify" vertical="center"/>
    </xf>
    <xf numFmtId="0" fontId="9" fillId="6" borderId="31" xfId="0" applyFont="1" applyFill="1" applyBorder="1" applyAlignment="1">
      <alignment horizontal="justify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17" borderId="38" xfId="0" applyFont="1" applyFill="1" applyBorder="1" applyAlignment="1">
      <alignment horizontal="center" vertical="center" wrapText="1"/>
    </xf>
    <xf numFmtId="0" fontId="9" fillId="17" borderId="62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9" fillId="6" borderId="31" xfId="0" applyFont="1" applyFill="1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165" fontId="9" fillId="3" borderId="16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0" fontId="9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 wrapText="1"/>
    </xf>
    <xf numFmtId="0" fontId="10" fillId="3" borderId="55" xfId="0" applyFont="1" applyFill="1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left" vertical="center"/>
    </xf>
    <xf numFmtId="0" fontId="8" fillId="6" borderId="38" xfId="0" applyFont="1" applyFill="1" applyBorder="1" applyAlignment="1">
      <alignment horizontal="left" vertical="center"/>
    </xf>
    <xf numFmtId="166" fontId="9" fillId="7" borderId="31" xfId="0" applyNumberFormat="1" applyFont="1" applyFill="1" applyBorder="1" applyAlignment="1">
      <alignment horizontal="center" vertical="center"/>
    </xf>
    <xf numFmtId="166" fontId="9" fillId="7" borderId="49" xfId="0" applyNumberFormat="1" applyFont="1" applyFill="1" applyBorder="1" applyAlignment="1">
      <alignment horizontal="center" vertical="center"/>
    </xf>
    <xf numFmtId="0" fontId="8" fillId="6" borderId="64" xfId="0" applyFont="1" applyFill="1" applyBorder="1" applyAlignment="1">
      <alignment horizontal="left" vertical="center"/>
    </xf>
    <xf numFmtId="0" fontId="8" fillId="6" borderId="49" xfId="0" applyFont="1" applyFill="1" applyBorder="1" applyAlignment="1">
      <alignment horizontal="left" vertical="center"/>
    </xf>
    <xf numFmtId="0" fontId="8" fillId="6" borderId="19" xfId="0" applyFont="1" applyFill="1" applyBorder="1" applyAlignment="1">
      <alignment horizontal="left" vertical="center"/>
    </xf>
    <xf numFmtId="0" fontId="9" fillId="14" borderId="16" xfId="0" applyFont="1" applyFill="1" applyBorder="1" applyAlignment="1">
      <alignment horizontal="center" vertical="center"/>
    </xf>
    <xf numFmtId="0" fontId="9" fillId="14" borderId="17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left" vertical="center"/>
    </xf>
    <xf numFmtId="0" fontId="9" fillId="17" borderId="38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/>
    </xf>
    <xf numFmtId="0" fontId="8" fillId="15" borderId="42" xfId="0" applyFont="1" applyFill="1" applyBorder="1" applyAlignment="1">
      <alignment horizontal="left" vertical="center"/>
    </xf>
    <xf numFmtId="0" fontId="8" fillId="15" borderId="40" xfId="0" applyFont="1" applyFill="1" applyBorder="1" applyAlignment="1">
      <alignment horizontal="left" vertical="center"/>
    </xf>
    <xf numFmtId="0" fontId="9" fillId="8" borderId="24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44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left" vertical="center"/>
    </xf>
    <xf numFmtId="0" fontId="8" fillId="6" borderId="66" xfId="0" applyFont="1" applyFill="1" applyBorder="1" applyAlignment="1">
      <alignment horizontal="left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8" fillId="14" borderId="61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49" fontId="9" fillId="12" borderId="16" xfId="0" applyNumberFormat="1" applyFont="1" applyFill="1" applyBorder="1" applyAlignment="1">
      <alignment horizontal="justify" vertical="center"/>
    </xf>
    <xf numFmtId="49" fontId="9" fillId="12" borderId="17" xfId="0" applyNumberFormat="1" applyFont="1" applyFill="1" applyBorder="1" applyAlignment="1">
      <alignment horizontal="justify" vertical="center"/>
    </xf>
    <xf numFmtId="49" fontId="9" fillId="12" borderId="18" xfId="0" applyNumberFormat="1" applyFont="1" applyFill="1" applyBorder="1" applyAlignment="1">
      <alignment horizontal="justify" vertical="center"/>
    </xf>
    <xf numFmtId="170" fontId="9" fillId="15" borderId="16" xfId="0" applyNumberFormat="1" applyFont="1" applyFill="1" applyBorder="1" applyAlignment="1">
      <alignment horizontal="center" vertical="center"/>
    </xf>
    <xf numFmtId="170" fontId="0" fillId="0" borderId="51" xfId="0" applyNumberFormat="1" applyBorder="1" applyAlignment="1">
      <alignment horizontal="center" vertical="center"/>
    </xf>
    <xf numFmtId="171" fontId="8" fillId="17" borderId="3" xfId="0" applyNumberFormat="1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165" fontId="9" fillId="3" borderId="18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9" fillId="20" borderId="71" xfId="0" applyFont="1" applyFill="1" applyBorder="1" applyAlignment="1">
      <alignment horizontal="center" vertical="center"/>
    </xf>
    <xf numFmtId="0" fontId="9" fillId="20" borderId="57" xfId="0" applyFont="1" applyFill="1" applyBorder="1" applyAlignment="1">
      <alignment horizontal="center" vertical="center"/>
    </xf>
    <xf numFmtId="0" fontId="9" fillId="20" borderId="74" xfId="0" applyFont="1" applyFill="1" applyBorder="1" applyAlignment="1">
      <alignment horizontal="center" vertical="center"/>
    </xf>
    <xf numFmtId="0" fontId="9" fillId="20" borderId="108" xfId="0" applyFont="1" applyFill="1" applyBorder="1" applyAlignment="1">
      <alignment horizontal="center" vertical="center"/>
    </xf>
    <xf numFmtId="177" fontId="26" fillId="21" borderId="5" xfId="3" applyNumberFormat="1" applyFont="1" applyFill="1" applyBorder="1" applyAlignment="1">
      <alignment horizontal="center" vertical="center"/>
    </xf>
    <xf numFmtId="177" fontId="26" fillId="21" borderId="7" xfId="3" applyNumberFormat="1" applyFont="1" applyFill="1" applyBorder="1" applyAlignment="1">
      <alignment horizontal="center" vertical="center"/>
    </xf>
    <xf numFmtId="164" fontId="26" fillId="21" borderId="70" xfId="3" applyFont="1" applyFill="1" applyBorder="1" applyAlignment="1">
      <alignment horizontal="center" vertical="center"/>
    </xf>
    <xf numFmtId="164" fontId="26" fillId="21" borderId="73" xfId="3" applyFont="1" applyFill="1" applyBorder="1" applyAlignment="1">
      <alignment horizontal="center" vertical="center"/>
    </xf>
    <xf numFmtId="0" fontId="9" fillId="20" borderId="68" xfId="0" applyFont="1" applyFill="1" applyBorder="1" applyAlignment="1">
      <alignment horizontal="center" vertical="center"/>
    </xf>
    <xf numFmtId="0" fontId="9" fillId="20" borderId="23" xfId="0" applyFont="1" applyFill="1" applyBorder="1" applyAlignment="1">
      <alignment horizontal="center" vertical="center"/>
    </xf>
    <xf numFmtId="164" fontId="26" fillId="21" borderId="54" xfId="3" applyFont="1" applyFill="1" applyBorder="1" applyAlignment="1">
      <alignment horizontal="center" vertical="center"/>
    </xf>
    <xf numFmtId="164" fontId="26" fillId="21" borderId="56" xfId="3" applyFont="1" applyFill="1" applyBorder="1" applyAlignment="1">
      <alignment horizontal="center" vertical="center"/>
    </xf>
    <xf numFmtId="0" fontId="9" fillId="17" borderId="0" xfId="0" applyFont="1" applyFill="1" applyBorder="1" applyAlignment="1">
      <alignment horizontal="center" vertical="center"/>
    </xf>
    <xf numFmtId="0" fontId="9" fillId="18" borderId="0" xfId="0" applyFont="1" applyFill="1" applyBorder="1" applyAlignment="1">
      <alignment horizontal="center" vertical="center"/>
    </xf>
    <xf numFmtId="164" fontId="26" fillId="16" borderId="0" xfId="3" applyFont="1" applyFill="1" applyBorder="1" applyAlignment="1">
      <alignment horizontal="center" vertical="center"/>
    </xf>
    <xf numFmtId="177" fontId="26" fillId="16" borderId="0" xfId="3" applyNumberFormat="1" applyFont="1" applyFill="1" applyBorder="1" applyAlignment="1">
      <alignment horizontal="center" vertical="center"/>
    </xf>
    <xf numFmtId="0" fontId="9" fillId="3" borderId="70" xfId="0" applyFont="1" applyFill="1" applyBorder="1" applyAlignment="1">
      <alignment horizontal="center" vertical="center"/>
    </xf>
    <xf numFmtId="0" fontId="9" fillId="3" borderId="75" xfId="0" applyFont="1" applyFill="1" applyBorder="1" applyAlignment="1">
      <alignment horizontal="center" vertical="center"/>
    </xf>
    <xf numFmtId="0" fontId="9" fillId="3" borderId="73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justify" vertical="center" wrapText="1"/>
    </xf>
    <xf numFmtId="0" fontId="8" fillId="6" borderId="17" xfId="0" applyFont="1" applyFill="1" applyBorder="1" applyAlignment="1">
      <alignment horizontal="justify" vertical="center" wrapText="1"/>
    </xf>
    <xf numFmtId="0" fontId="8" fillId="6" borderId="18" xfId="0" applyFont="1" applyFill="1" applyBorder="1" applyAlignment="1">
      <alignment horizontal="justify" vertical="center" wrapText="1"/>
    </xf>
    <xf numFmtId="0" fontId="8" fillId="6" borderId="82" xfId="0" applyFont="1" applyFill="1" applyBorder="1" applyAlignment="1">
      <alignment horizontal="justify" vertical="center" wrapText="1"/>
    </xf>
    <xf numFmtId="0" fontId="8" fillId="6" borderId="27" xfId="0" applyFont="1" applyFill="1" applyBorder="1" applyAlignment="1">
      <alignment horizontal="justify" vertical="center" wrapText="1"/>
    </xf>
    <xf numFmtId="0" fontId="8" fillId="6" borderId="69" xfId="0" applyFont="1" applyFill="1" applyBorder="1" applyAlignment="1">
      <alignment horizontal="justify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72" fontId="8" fillId="15" borderId="32" xfId="8" applyNumberFormat="1" applyFont="1" applyFill="1" applyBorder="1" applyAlignment="1">
      <alignment horizontal="center" vertical="center"/>
    </xf>
    <xf numFmtId="172" fontId="8" fillId="15" borderId="52" xfId="8" applyNumberFormat="1" applyFont="1" applyFill="1" applyBorder="1" applyAlignment="1">
      <alignment horizontal="center" vertical="center"/>
    </xf>
    <xf numFmtId="172" fontId="8" fillId="15" borderId="20" xfId="8" applyNumberFormat="1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9" fillId="5" borderId="54" xfId="0" applyFont="1" applyFill="1" applyBorder="1" applyAlignment="1">
      <alignment horizontal="left" vertical="center"/>
    </xf>
    <xf numFmtId="0" fontId="9" fillId="5" borderId="55" xfId="0" applyFont="1" applyFill="1" applyBorder="1" applyAlignment="1">
      <alignment horizontal="left" vertical="center"/>
    </xf>
    <xf numFmtId="0" fontId="9" fillId="5" borderId="56" xfId="0" applyFont="1" applyFill="1" applyBorder="1" applyAlignment="1">
      <alignment horizontal="left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0" fillId="6" borderId="2" xfId="0" applyFill="1" applyBorder="1"/>
    <xf numFmtId="0" fontId="8" fillId="6" borderId="30" xfId="0" applyFont="1" applyFill="1" applyBorder="1" applyAlignment="1">
      <alignment horizontal="left" vertical="center"/>
    </xf>
    <xf numFmtId="0" fontId="8" fillId="6" borderId="52" xfId="0" applyFont="1" applyFill="1" applyBorder="1" applyAlignment="1">
      <alignment horizontal="left" vertical="center"/>
    </xf>
    <xf numFmtId="0" fontId="8" fillId="6" borderId="20" xfId="0" applyFont="1" applyFill="1" applyBorder="1" applyAlignment="1">
      <alignment horizontal="left" vertical="center"/>
    </xf>
    <xf numFmtId="0" fontId="9" fillId="20" borderId="5" xfId="0" applyFont="1" applyFill="1" applyBorder="1" applyAlignment="1">
      <alignment horizontal="center" vertical="center"/>
    </xf>
    <xf numFmtId="0" fontId="9" fillId="20" borderId="6" xfId="0" applyFont="1" applyFill="1" applyBorder="1" applyAlignment="1">
      <alignment horizontal="center" vertical="center"/>
    </xf>
    <xf numFmtId="0" fontId="9" fillId="20" borderId="60" xfId="0" applyFont="1" applyFill="1" applyBorder="1" applyAlignment="1">
      <alignment horizontal="center" vertical="center"/>
    </xf>
    <xf numFmtId="0" fontId="9" fillId="20" borderId="70" xfId="0" applyFont="1" applyFill="1" applyBorder="1" applyAlignment="1">
      <alignment horizontal="center" vertical="center"/>
    </xf>
    <xf numFmtId="0" fontId="9" fillId="20" borderId="75" xfId="0" applyFont="1" applyFill="1" applyBorder="1" applyAlignment="1">
      <alignment horizontal="center" vertical="center"/>
    </xf>
    <xf numFmtId="0" fontId="9" fillId="20" borderId="21" xfId="0" applyFont="1" applyFill="1" applyBorder="1" applyAlignment="1">
      <alignment horizontal="center" vertical="center"/>
    </xf>
    <xf numFmtId="0" fontId="9" fillId="6" borderId="4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6" borderId="32" xfId="0" applyFont="1" applyFill="1" applyBorder="1" applyAlignment="1">
      <alignment horizontal="left" vertical="center"/>
    </xf>
    <xf numFmtId="0" fontId="9" fillId="20" borderId="72" xfId="0" applyFont="1" applyFill="1" applyBorder="1" applyAlignment="1">
      <alignment horizontal="center" vertical="center" wrapText="1"/>
    </xf>
    <xf numFmtId="0" fontId="9" fillId="20" borderId="22" xfId="0" applyFont="1" applyFill="1" applyBorder="1" applyAlignment="1">
      <alignment horizontal="center" vertical="center"/>
    </xf>
    <xf numFmtId="0" fontId="9" fillId="20" borderId="72" xfId="0" applyFont="1" applyFill="1" applyBorder="1" applyAlignment="1">
      <alignment horizontal="center" vertical="center"/>
    </xf>
    <xf numFmtId="0" fontId="9" fillId="20" borderId="58" xfId="0" applyFont="1" applyFill="1" applyBorder="1" applyAlignment="1">
      <alignment horizontal="center" vertical="center"/>
    </xf>
    <xf numFmtId="0" fontId="9" fillId="20" borderId="59" xfId="0" applyFont="1" applyFill="1" applyBorder="1" applyAlignment="1">
      <alignment horizontal="center" vertical="center" wrapText="1"/>
    </xf>
    <xf numFmtId="0" fontId="9" fillId="20" borderId="6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0" xfId="0" applyFont="1" applyFill="1" applyBorder="1" applyAlignment="1">
      <alignment horizontal="center" vertical="center" wrapText="1"/>
    </xf>
    <xf numFmtId="0" fontId="9" fillId="3" borderId="75" xfId="0" applyFont="1" applyFill="1" applyBorder="1" applyAlignment="1">
      <alignment horizontal="center" vertical="center" wrapText="1"/>
    </xf>
    <xf numFmtId="0" fontId="9" fillId="3" borderId="73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38" xfId="0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6" borderId="42" xfId="0" applyFont="1" applyFill="1" applyBorder="1" applyAlignment="1">
      <alignment vertical="center"/>
    </xf>
    <xf numFmtId="0" fontId="8" fillId="6" borderId="40" xfId="0" applyFont="1" applyFill="1" applyBorder="1" applyAlignment="1">
      <alignment vertical="center"/>
    </xf>
    <xf numFmtId="0" fontId="0" fillId="0" borderId="61" xfId="0" applyBorder="1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8" fillId="15" borderId="18" xfId="0" applyFont="1" applyFill="1" applyBorder="1" applyAlignment="1">
      <alignment horizontal="center" vertical="center"/>
    </xf>
    <xf numFmtId="9" fontId="8" fillId="15" borderId="16" xfId="8" applyNumberFormat="1" applyFont="1" applyFill="1" applyBorder="1" applyAlignment="1">
      <alignment horizontal="center" vertical="center"/>
    </xf>
    <xf numFmtId="9" fontId="8" fillId="15" borderId="17" xfId="8" applyNumberFormat="1" applyFont="1" applyFill="1" applyBorder="1" applyAlignment="1">
      <alignment horizontal="center" vertical="center"/>
    </xf>
    <xf numFmtId="9" fontId="8" fillId="15" borderId="18" xfId="8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left" vertical="center"/>
    </xf>
    <xf numFmtId="0" fontId="26" fillId="26" borderId="3" xfId="0" applyFont="1" applyFill="1" applyBorder="1" applyAlignment="1">
      <alignment horizontal="center"/>
    </xf>
    <xf numFmtId="0" fontId="28" fillId="26" borderId="3" xfId="0" applyFont="1" applyFill="1" applyBorder="1" applyAlignment="1">
      <alignment horizontal="center"/>
    </xf>
    <xf numFmtId="0" fontId="28" fillId="26" borderId="16" xfId="0" applyFont="1" applyFill="1" applyBorder="1" applyAlignment="1">
      <alignment horizontal="center"/>
    </xf>
    <xf numFmtId="167" fontId="22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29" fillId="3" borderId="54" xfId="0" applyFont="1" applyFill="1" applyBorder="1" applyAlignment="1">
      <alignment horizontal="center" vertical="center" wrapText="1"/>
    </xf>
    <xf numFmtId="0" fontId="29" fillId="3" borderId="55" xfId="0" applyFont="1" applyFill="1" applyBorder="1" applyAlignment="1">
      <alignment horizontal="center" vertical="center" wrapText="1"/>
    </xf>
    <xf numFmtId="0" fontId="29" fillId="3" borderId="56" xfId="0" applyFont="1" applyFill="1" applyBorder="1" applyAlignment="1">
      <alignment horizontal="center" vertical="center" wrapText="1"/>
    </xf>
    <xf numFmtId="0" fontId="31" fillId="23" borderId="83" xfId="0" applyFont="1" applyFill="1" applyBorder="1" applyAlignment="1">
      <alignment horizontal="left" vertical="center" wrapText="1"/>
    </xf>
    <xf numFmtId="0" fontId="31" fillId="23" borderId="0" xfId="0" applyFont="1" applyFill="1" applyBorder="1" applyAlignment="1">
      <alignment horizontal="left" vertical="center" wrapText="1"/>
    </xf>
    <xf numFmtId="0" fontId="31" fillId="23" borderId="75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6" fillId="2" borderId="41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31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54" xfId="0" applyFont="1" applyFill="1" applyBorder="1" applyAlignment="1">
      <alignment horizontal="center" vertical="center" wrapText="1"/>
    </xf>
    <xf numFmtId="0" fontId="26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167" fontId="22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0" fillId="12" borderId="16" xfId="0" applyNumberFormat="1" applyFill="1" applyBorder="1" applyAlignment="1">
      <alignment horizontal="center"/>
    </xf>
    <xf numFmtId="0" fontId="10" fillId="33" borderId="24" xfId="0" applyFont="1" applyFill="1" applyBorder="1" applyAlignment="1">
      <alignment horizontal="center" vertical="center"/>
    </xf>
    <xf numFmtId="0" fontId="54" fillId="34" borderId="2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5" fillId="33" borderId="54" xfId="0" applyFont="1" applyFill="1" applyBorder="1" applyAlignment="1">
      <alignment horizontal="center" vertical="center"/>
    </xf>
    <xf numFmtId="0" fontId="56" fillId="34" borderId="55" xfId="0" applyFont="1" applyFill="1" applyBorder="1" applyAlignment="1">
      <alignment horizontal="center" vertical="center"/>
    </xf>
    <xf numFmtId="0" fontId="0" fillId="6" borderId="104" xfId="0" applyFill="1" applyBorder="1" applyAlignment="1"/>
    <xf numFmtId="0" fontId="0" fillId="0" borderId="49" xfId="0" applyBorder="1" applyAlignment="1"/>
    <xf numFmtId="0" fontId="0" fillId="0" borderId="105" xfId="0" applyBorder="1" applyAlignment="1"/>
    <xf numFmtId="0" fontId="9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9" fillId="5" borderId="36" xfId="0" applyFont="1" applyFill="1" applyBorder="1" applyAlignment="1">
      <alignment horizontal="left" vertical="center"/>
    </xf>
    <xf numFmtId="0" fontId="9" fillId="5" borderId="37" xfId="0" applyFont="1" applyFill="1" applyBorder="1" applyAlignment="1">
      <alignment horizontal="left" vertical="center"/>
    </xf>
    <xf numFmtId="0" fontId="9" fillId="5" borderId="38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9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40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6" borderId="28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31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0" fontId="59" fillId="5" borderId="16" xfId="0" applyFont="1" applyFill="1" applyBorder="1" applyAlignment="1">
      <alignment vertical="center"/>
    </xf>
    <xf numFmtId="0" fontId="58" fillId="0" borderId="17" xfId="0" applyFont="1" applyBorder="1" applyAlignment="1">
      <alignment vertical="center"/>
    </xf>
    <xf numFmtId="0" fontId="58" fillId="0" borderId="18" xfId="0" applyFont="1" applyBorder="1" applyAlignment="1">
      <alignment vertical="center"/>
    </xf>
    <xf numFmtId="0" fontId="0" fillId="0" borderId="3" xfId="0" applyBorder="1" applyAlignment="1"/>
    <xf numFmtId="0" fontId="8" fillId="0" borderId="11" xfId="0" applyFont="1" applyBorder="1" applyAlignment="1">
      <alignment horizontal="left" vertical="center"/>
    </xf>
    <xf numFmtId="0" fontId="58" fillId="0" borderId="16" xfId="0" applyFont="1" applyBorder="1" applyAlignment="1"/>
    <xf numFmtId="0" fontId="0" fillId="0" borderId="18" xfId="0" applyBorder="1" applyAlignment="1"/>
    <xf numFmtId="10" fontId="8" fillId="6" borderId="16" xfId="0" applyNumberFormat="1" applyFont="1" applyFill="1" applyBorder="1" applyAlignment="1">
      <alignment horizontal="left" vertical="center"/>
    </xf>
    <xf numFmtId="0" fontId="8" fillId="16" borderId="0" xfId="0" applyFont="1" applyFill="1" applyBorder="1" applyAlignment="1">
      <alignment horizontal="left" vertical="center"/>
    </xf>
    <xf numFmtId="0" fontId="9" fillId="8" borderId="26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8" fillId="5" borderId="64" xfId="0" applyFont="1" applyFill="1" applyBorder="1" applyAlignment="1">
      <alignment horizontal="left" vertical="center"/>
    </xf>
    <xf numFmtId="0" fontId="8" fillId="5" borderId="49" xfId="0" applyFont="1" applyFill="1" applyBorder="1" applyAlignment="1">
      <alignment horizontal="left" vertical="center"/>
    </xf>
    <xf numFmtId="0" fontId="8" fillId="5" borderId="50" xfId="0" applyFont="1" applyFill="1" applyBorder="1" applyAlignment="1">
      <alignment horizontal="left"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9" fillId="16" borderId="0" xfId="0" applyFont="1" applyFill="1" applyBorder="1" applyAlignment="1">
      <alignment horizontal="left" vertical="center"/>
    </xf>
    <xf numFmtId="0" fontId="9" fillId="14" borderId="0" xfId="0" applyFont="1" applyFill="1" applyBorder="1" applyAlignment="1">
      <alignment horizontal="center" vertical="center" wrapText="1"/>
    </xf>
    <xf numFmtId="165" fontId="9" fillId="14" borderId="0" xfId="0" applyNumberFormat="1" applyFont="1" applyFill="1" applyBorder="1" applyAlignment="1">
      <alignment horizontal="center" vertical="center" wrapText="1"/>
    </xf>
    <xf numFmtId="0" fontId="9" fillId="14" borderId="0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18" fillId="0" borderId="31" xfId="0" applyFont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9" fillId="2" borderId="44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9" fillId="5" borderId="44" xfId="0" applyFont="1" applyFill="1" applyBorder="1" applyAlignment="1">
      <alignment horizontal="left" vertical="center"/>
    </xf>
    <xf numFmtId="0" fontId="18" fillId="0" borderId="45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46" xfId="0" applyFont="1" applyBorder="1" applyAlignment="1">
      <alignment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8" fillId="6" borderId="20" xfId="0" applyFont="1" applyFill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0" fontId="8" fillId="6" borderId="32" xfId="0" applyFont="1" applyFill="1" applyBorder="1" applyAlignment="1">
      <alignment vertical="center"/>
    </xf>
    <xf numFmtId="0" fontId="8" fillId="18" borderId="3" xfId="0" applyFont="1" applyFill="1" applyBorder="1" applyAlignment="1">
      <alignment horizontal="left" vertical="center"/>
    </xf>
    <xf numFmtId="0" fontId="8" fillId="18" borderId="16" xfId="0" applyFont="1" applyFill="1" applyBorder="1" applyAlignment="1">
      <alignment horizontal="left" vertical="center"/>
    </xf>
    <xf numFmtId="0" fontId="8" fillId="18" borderId="42" xfId="0" applyFont="1" applyFill="1" applyBorder="1" applyAlignment="1">
      <alignment horizontal="left" vertical="center"/>
    </xf>
    <xf numFmtId="0" fontId="8" fillId="18" borderId="40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vertical="center"/>
    </xf>
    <xf numFmtId="0" fontId="9" fillId="5" borderId="9" xfId="0" applyFont="1" applyFill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5" borderId="11" xfId="0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9" fillId="5" borderId="13" xfId="0" applyFont="1" applyFill="1" applyBorder="1" applyAlignment="1">
      <alignment vertical="center"/>
    </xf>
    <xf numFmtId="0" fontId="9" fillId="5" borderId="14" xfId="0" applyFont="1" applyFill="1" applyBorder="1" applyAlignment="1">
      <alignment vertical="center"/>
    </xf>
    <xf numFmtId="14" fontId="22" fillId="0" borderId="14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166" fontId="9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9" fillId="6" borderId="42" xfId="0" applyNumberFormat="1" applyFont="1" applyFill="1" applyBorder="1" applyAlignment="1">
      <alignment horizontal="justify" vertical="justify"/>
    </xf>
    <xf numFmtId="0" fontId="9" fillId="6" borderId="42" xfId="0" applyFont="1" applyFill="1" applyBorder="1" applyAlignment="1">
      <alignment horizontal="justify" vertical="justify"/>
    </xf>
    <xf numFmtId="0" fontId="9" fillId="6" borderId="40" xfId="0" applyFont="1" applyFill="1" applyBorder="1" applyAlignment="1">
      <alignment horizontal="justify" vertical="justify"/>
    </xf>
    <xf numFmtId="0" fontId="8" fillId="5" borderId="31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0" fontId="8" fillId="5" borderId="51" xfId="0" applyFont="1" applyFill="1" applyBorder="1" applyAlignment="1">
      <alignment horizontal="left" vertical="center"/>
    </xf>
    <xf numFmtId="0" fontId="8" fillId="5" borderId="32" xfId="0" applyFont="1" applyFill="1" applyBorder="1" applyAlignment="1">
      <alignment horizontal="left" vertical="center"/>
    </xf>
    <xf numFmtId="0" fontId="8" fillId="5" borderId="52" xfId="0" applyFont="1" applyFill="1" applyBorder="1" applyAlignment="1">
      <alignment horizontal="left" vertical="center"/>
    </xf>
    <xf numFmtId="0" fontId="8" fillId="5" borderId="53" xfId="0" applyFont="1" applyFill="1" applyBorder="1" applyAlignment="1">
      <alignment horizontal="left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8" fillId="0" borderId="45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62" xfId="0" applyFont="1" applyBorder="1" applyAlignment="1">
      <alignment horizontal="left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49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5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6" borderId="14" xfId="0" applyFont="1" applyFill="1" applyBorder="1" applyAlignment="1">
      <alignment horizontal="left" vertical="center"/>
    </xf>
    <xf numFmtId="0" fontId="8" fillId="6" borderId="40" xfId="0" applyFont="1" applyFill="1" applyBorder="1" applyAlignment="1">
      <alignment horizontal="left" vertical="center"/>
    </xf>
    <xf numFmtId="0" fontId="8" fillId="6" borderId="27" xfId="0" applyFont="1" applyFill="1" applyBorder="1" applyAlignment="1">
      <alignment horizontal="left" vertical="center"/>
    </xf>
    <xf numFmtId="0" fontId="17" fillId="6" borderId="3" xfId="0" applyFont="1" applyFill="1" applyBorder="1"/>
    <xf numFmtId="0" fontId="17" fillId="6" borderId="16" xfId="0" applyFont="1" applyFill="1" applyBorder="1"/>
    <xf numFmtId="0" fontId="18" fillId="0" borderId="38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/>
    </xf>
    <xf numFmtId="0" fontId="9" fillId="5" borderId="54" xfId="0" applyFont="1" applyFill="1" applyBorder="1" applyAlignment="1">
      <alignment vertical="center"/>
    </xf>
    <xf numFmtId="0" fontId="9" fillId="5" borderId="55" xfId="0" applyFont="1" applyFill="1" applyBorder="1" applyAlignment="1">
      <alignment vertical="center"/>
    </xf>
    <xf numFmtId="0" fontId="9" fillId="5" borderId="63" xfId="0" applyFont="1" applyFill="1" applyBorder="1" applyAlignment="1">
      <alignment vertical="center"/>
    </xf>
    <xf numFmtId="0" fontId="8" fillId="6" borderId="44" xfId="0" applyFont="1" applyFill="1" applyBorder="1" applyAlignment="1">
      <alignment horizontal="left" vertical="center"/>
    </xf>
    <xf numFmtId="0" fontId="8" fillId="6" borderId="55" xfId="0" applyFont="1" applyFill="1" applyBorder="1" applyAlignment="1">
      <alignment horizontal="left" vertical="center"/>
    </xf>
    <xf numFmtId="0" fontId="8" fillId="6" borderId="63" xfId="0" applyFont="1" applyFill="1" applyBorder="1" applyAlignment="1">
      <alignment horizontal="left" vertical="center"/>
    </xf>
    <xf numFmtId="0" fontId="9" fillId="5" borderId="63" xfId="0" applyFont="1" applyFill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10" fillId="33" borderId="5" xfId="0" applyFont="1" applyFill="1" applyBorder="1" applyAlignment="1">
      <alignment horizontal="center" vertical="center"/>
    </xf>
    <xf numFmtId="0" fontId="10" fillId="33" borderId="6" xfId="0" applyFont="1" applyFill="1" applyBorder="1" applyAlignment="1">
      <alignment horizontal="center" vertical="center"/>
    </xf>
    <xf numFmtId="0" fontId="10" fillId="33" borderId="7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/>
    </xf>
    <xf numFmtId="0" fontId="9" fillId="8" borderId="80" xfId="0" applyFont="1" applyFill="1" applyBorder="1" applyAlignment="1">
      <alignment horizontal="center" vertical="center"/>
    </xf>
    <xf numFmtId="0" fontId="9" fillId="8" borderId="81" xfId="0" applyFont="1" applyFill="1" applyBorder="1" applyAlignment="1">
      <alignment horizontal="center" vertical="center"/>
    </xf>
    <xf numFmtId="0" fontId="9" fillId="8" borderId="106" xfId="0" applyFont="1" applyFill="1" applyBorder="1" applyAlignment="1">
      <alignment horizontal="center" vertical="center"/>
    </xf>
    <xf numFmtId="0" fontId="9" fillId="8" borderId="77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19" borderId="28" xfId="0" applyFont="1" applyFill="1" applyBorder="1" applyAlignment="1">
      <alignment horizontal="left" vertical="center"/>
    </xf>
    <xf numFmtId="0" fontId="8" fillId="19" borderId="27" xfId="0" applyFont="1" applyFill="1" applyBorder="1" applyAlignment="1">
      <alignment horizontal="left" vertical="center"/>
    </xf>
    <xf numFmtId="0" fontId="9" fillId="19" borderId="54" xfId="0" applyFont="1" applyFill="1" applyBorder="1" applyAlignment="1">
      <alignment horizontal="left" vertical="center"/>
    </xf>
    <xf numFmtId="0" fontId="9" fillId="19" borderId="55" xfId="0" applyFont="1" applyFill="1" applyBorder="1" applyAlignment="1">
      <alignment horizontal="left" vertical="center"/>
    </xf>
    <xf numFmtId="0" fontId="9" fillId="19" borderId="61" xfId="0" applyFont="1" applyFill="1" applyBorder="1" applyAlignment="1">
      <alignment horizontal="center" vertical="center" wrapText="1"/>
    </xf>
    <xf numFmtId="0" fontId="9" fillId="19" borderId="0" xfId="0" applyFont="1" applyFill="1" applyBorder="1" applyAlignment="1">
      <alignment horizontal="center" vertical="center" wrapText="1"/>
    </xf>
    <xf numFmtId="0" fontId="9" fillId="19" borderId="76" xfId="0" applyFont="1" applyFill="1" applyBorder="1" applyAlignment="1">
      <alignment horizontal="center" vertical="center" wrapText="1"/>
    </xf>
    <xf numFmtId="0" fontId="9" fillId="19" borderId="70" xfId="0" applyFont="1" applyFill="1" applyBorder="1" applyAlignment="1">
      <alignment horizontal="center" vertical="center" wrapText="1"/>
    </xf>
    <xf numFmtId="0" fontId="9" fillId="19" borderId="75" xfId="0" applyFont="1" applyFill="1" applyBorder="1" applyAlignment="1">
      <alignment horizontal="center" vertical="center" wrapText="1"/>
    </xf>
    <xf numFmtId="0" fontId="9" fillId="19" borderId="73" xfId="0" applyFont="1" applyFill="1" applyBorder="1" applyAlignment="1">
      <alignment horizontal="center" vertical="center" wrapText="1"/>
    </xf>
    <xf numFmtId="0" fontId="8" fillId="19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29" fillId="29" borderId="84" xfId="0" applyFont="1" applyFill="1" applyBorder="1" applyAlignment="1">
      <alignment horizontal="center" vertical="center" wrapText="1"/>
    </xf>
    <xf numFmtId="0" fontId="29" fillId="29" borderId="86" xfId="0" applyFont="1" applyFill="1" applyBorder="1" applyAlignment="1">
      <alignment horizontal="center" vertical="center" wrapText="1"/>
    </xf>
    <xf numFmtId="173" fontId="29" fillId="28" borderId="97" xfId="0" applyNumberFormat="1" applyFont="1" applyFill="1" applyBorder="1" applyAlignment="1">
      <alignment horizontal="center" vertical="center"/>
    </xf>
    <xf numFmtId="173" fontId="29" fillId="28" borderId="98" xfId="0" applyNumberFormat="1" applyFont="1" applyFill="1" applyBorder="1" applyAlignment="1">
      <alignment horizontal="center" vertical="center"/>
    </xf>
    <xf numFmtId="170" fontId="29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170" fontId="22" fillId="28" borderId="101" xfId="0" applyNumberFormat="1" applyFont="1" applyFill="1" applyBorder="1" applyAlignment="1">
      <alignment horizontal="center" vertical="center"/>
    </xf>
    <xf numFmtId="170" fontId="0" fillId="28" borderId="88" xfId="0" applyNumberFormat="1" applyFill="1" applyBorder="1" applyAlignment="1">
      <alignment horizontal="center" vertical="center"/>
    </xf>
    <xf numFmtId="170" fontId="0" fillId="28" borderId="89" xfId="0" applyNumberFormat="1" applyFill="1" applyBorder="1" applyAlignment="1">
      <alignment horizontal="center" vertical="center"/>
    </xf>
    <xf numFmtId="170" fontId="22" fillId="28" borderId="102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6" fillId="24" borderId="5" xfId="0" applyFont="1" applyFill="1" applyBorder="1" applyAlignment="1">
      <alignment horizontal="center" vertical="center" wrapText="1"/>
    </xf>
    <xf numFmtId="0" fontId="36" fillId="24" borderId="6" xfId="0" applyFont="1" applyFill="1" applyBorder="1" applyAlignment="1">
      <alignment horizontal="center" vertical="center"/>
    </xf>
    <xf numFmtId="0" fontId="36" fillId="24" borderId="7" xfId="0" applyFont="1" applyFill="1" applyBorder="1" applyAlignment="1">
      <alignment horizontal="center" vertical="center"/>
    </xf>
    <xf numFmtId="0" fontId="22" fillId="0" borderId="84" xfId="0" applyFont="1" applyBorder="1"/>
    <xf numFmtId="0" fontId="22" fillId="0" borderId="86" xfId="0" applyFont="1" applyBorder="1"/>
    <xf numFmtId="0" fontId="34" fillId="0" borderId="84" xfId="0" applyFont="1" applyBorder="1" applyAlignment="1">
      <alignment horizontal="left" vertical="center"/>
    </xf>
    <xf numFmtId="0" fontId="26" fillId="28" borderId="3" xfId="0" applyFont="1" applyFill="1" applyBorder="1" applyAlignment="1">
      <alignment horizontal="center" vertical="center"/>
    </xf>
    <xf numFmtId="0" fontId="28" fillId="28" borderId="3" xfId="0" applyFont="1" applyFill="1" applyBorder="1" applyAlignment="1">
      <alignment horizontal="center" vertical="center"/>
    </xf>
    <xf numFmtId="0" fontId="28" fillId="28" borderId="3" xfId="0" applyFont="1" applyFill="1" applyBorder="1" applyAlignment="1"/>
    <xf numFmtId="0" fontId="26" fillId="28" borderId="42" xfId="0" applyFont="1" applyFill="1" applyBorder="1" applyAlignment="1">
      <alignment horizontal="center" vertical="center"/>
    </xf>
    <xf numFmtId="0" fontId="28" fillId="28" borderId="42" xfId="0" applyFont="1" applyFill="1" applyBorder="1" applyAlignment="1">
      <alignment horizontal="center" vertical="center"/>
    </xf>
    <xf numFmtId="0" fontId="26" fillId="0" borderId="111" xfId="0" applyFont="1" applyBorder="1" applyAlignment="1">
      <alignment horizontal="center" vertical="center"/>
    </xf>
    <xf numFmtId="0" fontId="26" fillId="0" borderId="94" xfId="0" applyFont="1" applyBorder="1" applyAlignment="1">
      <alignment horizontal="center" vertical="center"/>
    </xf>
    <xf numFmtId="0" fontId="26" fillId="0" borderId="84" xfId="0" applyFont="1" applyBorder="1" applyAlignment="1">
      <alignment horizontal="center" vertical="center"/>
    </xf>
    <xf numFmtId="0" fontId="26" fillId="0" borderId="86" xfId="0" applyFont="1" applyBorder="1" applyAlignment="1">
      <alignment horizontal="center" vertical="center"/>
    </xf>
    <xf numFmtId="0" fontId="22" fillId="0" borderId="111" xfId="0" applyFont="1" applyBorder="1"/>
    <xf numFmtId="0" fontId="22" fillId="0" borderId="94" xfId="0" applyFont="1" applyBorder="1"/>
    <xf numFmtId="0" fontId="39" fillId="0" borderId="6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76" xfId="0" applyFont="1" applyBorder="1" applyAlignment="1">
      <alignment horizontal="center"/>
    </xf>
    <xf numFmtId="0" fontId="22" fillId="0" borderId="6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76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22" fillId="0" borderId="6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76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justify" vertical="justify"/>
    </xf>
    <xf numFmtId="0" fontId="27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29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6" fillId="16" borderId="3" xfId="0" applyNumberFormat="1" applyFont="1" applyFill="1" applyBorder="1" applyAlignment="1">
      <alignment horizontal="center" vertical="center"/>
    </xf>
    <xf numFmtId="0" fontId="22" fillId="16" borderId="3" xfId="0" applyFont="1" applyFill="1" applyBorder="1" applyAlignment="1">
      <alignment horizontal="center" vertical="center"/>
    </xf>
    <xf numFmtId="173" fontId="29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49" fillId="28" borderId="16" xfId="0" applyFont="1" applyFill="1" applyBorder="1" applyAlignment="1">
      <alignment horizontal="center"/>
    </xf>
    <xf numFmtId="0" fontId="50" fillId="28" borderId="17" xfId="0" applyFont="1" applyFill="1" applyBorder="1" applyAlignment="1">
      <alignment horizontal="center"/>
    </xf>
    <xf numFmtId="0" fontId="50" fillId="28" borderId="18" xfId="0" applyFont="1" applyFill="1" applyBorder="1" applyAlignment="1">
      <alignment horizontal="center"/>
    </xf>
    <xf numFmtId="173" fontId="49" fillId="28" borderId="18" xfId="0" applyNumberFormat="1" applyFont="1" applyFill="1" applyBorder="1" applyAlignment="1">
      <alignment horizontal="center" vertical="center"/>
    </xf>
    <xf numFmtId="0" fontId="51" fillId="28" borderId="3" xfId="0" applyFont="1" applyFill="1" applyBorder="1" applyAlignment="1">
      <alignment horizontal="center" vertical="center"/>
    </xf>
    <xf numFmtId="173" fontId="49" fillId="28" borderId="38" xfId="0" applyNumberFormat="1" applyFont="1" applyFill="1" applyBorder="1" applyAlignment="1">
      <alignment horizontal="center" vertical="center"/>
    </xf>
    <xf numFmtId="0" fontId="51" fillId="28" borderId="62" xfId="0" applyFont="1" applyFill="1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29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173" fontId="29" fillId="0" borderId="16" xfId="0" applyNumberFormat="1" applyFont="1" applyBorder="1" applyAlignment="1">
      <alignment horizontal="center" vertical="center"/>
    </xf>
    <xf numFmtId="0" fontId="29" fillId="28" borderId="16" xfId="0" applyFont="1" applyFill="1" applyBorder="1" applyAlignment="1">
      <alignment horizontal="center"/>
    </xf>
    <xf numFmtId="0" fontId="46" fillId="28" borderId="17" xfId="0" applyFont="1" applyFill="1" applyBorder="1" applyAlignment="1">
      <alignment horizontal="center"/>
    </xf>
    <xf numFmtId="0" fontId="46" fillId="28" borderId="18" xfId="0" applyFont="1" applyFill="1" applyBorder="1" applyAlignment="1">
      <alignment horizontal="center"/>
    </xf>
    <xf numFmtId="173" fontId="29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9" fillId="28" borderId="40" xfId="0" applyNumberFormat="1" applyFont="1" applyFill="1" applyBorder="1" applyAlignment="1">
      <alignment horizontal="center" vertical="center"/>
    </xf>
    <xf numFmtId="7" fontId="28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0" fontId="29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8" fillId="37" borderId="5" xfId="0" applyFont="1" applyFill="1" applyBorder="1" applyAlignment="1">
      <alignment horizontal="justify" vertical="justify"/>
    </xf>
    <xf numFmtId="0" fontId="68" fillId="37" borderId="7" xfId="0" applyFont="1" applyFill="1" applyBorder="1" applyAlignment="1">
      <alignment horizontal="justify" vertical="justify"/>
    </xf>
    <xf numFmtId="0" fontId="68" fillId="37" borderId="61" xfId="0" applyFont="1" applyFill="1" applyBorder="1" applyAlignment="1">
      <alignment horizontal="justify" vertical="justify"/>
    </xf>
    <xf numFmtId="0" fontId="68" fillId="37" borderId="76" xfId="0" applyFont="1" applyFill="1" applyBorder="1" applyAlignment="1">
      <alignment horizontal="justify" vertical="justify"/>
    </xf>
    <xf numFmtId="0" fontId="58" fillId="0" borderId="61" xfId="0" applyFont="1" applyBorder="1" applyAlignment="1">
      <alignment horizontal="justify" vertical="justify"/>
    </xf>
    <xf numFmtId="0" fontId="58" fillId="0" borderId="76" xfId="0" applyFont="1" applyBorder="1" applyAlignment="1">
      <alignment horizontal="justify" vertical="justify"/>
    </xf>
    <xf numFmtId="0" fontId="58" fillId="0" borderId="70" xfId="0" applyFont="1" applyBorder="1" applyAlignment="1">
      <alignment horizontal="justify" vertical="justify"/>
    </xf>
    <xf numFmtId="0" fontId="58" fillId="0" borderId="73" xfId="0" applyFont="1" applyBorder="1" applyAlignment="1">
      <alignment horizontal="justify" vertical="justify"/>
    </xf>
  </cellXfs>
  <cellStyles count="12">
    <cellStyle name="cf1" xfId="1" xr:uid="{00000000-0005-0000-0000-000000000000}"/>
    <cellStyle name="cf2" xfId="2" xr:uid="{00000000-0005-0000-0000-000001000000}"/>
    <cellStyle name="Excel_BuiltIn_Currency 1" xfId="9" xr:uid="{00000000-0005-0000-0000-000002000000}"/>
    <cellStyle name="Moeda" xfId="3" builtinId="4"/>
    <cellStyle name="Normal" xfId="0" builtinId="0"/>
    <cellStyle name="Normal 2" xfId="4" xr:uid="{00000000-0005-0000-0000-000005000000}"/>
    <cellStyle name="Normal 3" xfId="10" xr:uid="{40384BAB-6356-41B3-84C2-59C6B9319E5C}"/>
    <cellStyle name="Normal 4" xfId="11" xr:uid="{36870264-A23C-4017-B000-10758CD3AA2E}"/>
    <cellStyle name="Porcentagem" xfId="8" builtinId="5"/>
    <cellStyle name="Resultado2" xfId="5" xr:uid="{00000000-0005-0000-0000-000007000000}"/>
    <cellStyle name="Título 5" xfId="6" xr:uid="{00000000-0005-0000-0000-000008000000}"/>
    <cellStyle name="Título 6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9" dT="2025-01-31T23:28:31.40" personId="{840DA8FB-0915-4BF1-80A7-60F8416764B9}" id="{10EC7389-53F1-4FF9-BA67-29C927D1F1F5}">
    <text xml:space="preserve">O valor deverá se lançado conforme realidade de cada município e necessidade do empregado, e não caberá Termo Aditivo para aumentar o valor, caso o licitante lance  a menor.
</text>
  </threadedComment>
  <threadedComment ref="K36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37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0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4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J62" dT="2025-01-31T16:59:42.63" personId="{840DA8FB-0915-4BF1-80A7-60F8416764B9}" id="{047988E5-4BA4-4D25-98E7-4A14FF71E1D0}">
    <text>Atenção: Cálculo considerado por 12 meses e não por vigência.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topLeftCell="A5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395" t="s">
        <v>0</v>
      </c>
      <c r="B1" s="395"/>
    </row>
    <row r="2" spans="1:2" s="181" customFormat="1" ht="53.4" customHeight="1">
      <c r="A2" s="187">
        <v>1</v>
      </c>
      <c r="B2" s="188" t="s">
        <v>146</v>
      </c>
    </row>
    <row r="3" spans="1:2" s="181" customFormat="1" ht="53.4" customHeight="1">
      <c r="A3" s="187">
        <v>2</v>
      </c>
      <c r="B3" s="189" t="s">
        <v>279</v>
      </c>
    </row>
    <row r="4" spans="1:2" s="181" customFormat="1" ht="53.4" customHeight="1">
      <c r="A4" s="187">
        <v>3</v>
      </c>
      <c r="B4" s="188" t="s">
        <v>299</v>
      </c>
    </row>
    <row r="5" spans="1:2" s="181" customFormat="1" ht="53.4" customHeight="1">
      <c r="A5" s="187">
        <v>4</v>
      </c>
      <c r="B5" s="188" t="s">
        <v>148</v>
      </c>
    </row>
    <row r="6" spans="1:2" s="181" customFormat="1" ht="53.4" customHeight="1">
      <c r="A6" s="187">
        <v>5</v>
      </c>
      <c r="B6" s="188" t="s">
        <v>147</v>
      </c>
    </row>
    <row r="7" spans="1:2" s="181" customFormat="1" ht="53.4" customHeight="1">
      <c r="A7" s="190">
        <v>6</v>
      </c>
      <c r="B7" s="191" t="s">
        <v>212</v>
      </c>
    </row>
    <row r="30" spans="1:1">
      <c r="A30" s="1" t="s">
        <v>97</v>
      </c>
    </row>
    <row r="31" spans="1:1">
      <c r="A31" s="1" t="s">
        <v>215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X122"/>
  <sheetViews>
    <sheetView showGridLines="0" zoomScale="90" zoomScaleNormal="90" workbookViewId="0">
      <selection activeCell="G125" sqref="G125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5" style="9" customWidth="1"/>
    <col min="8" max="8" width="15.1640625" style="9" customWidth="1"/>
    <col min="9" max="9" width="12.6640625" style="9" customWidth="1"/>
    <col min="10" max="10" width="16.4140625" style="9" customWidth="1"/>
    <col min="11" max="11" width="15.91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16" width="14.6640625" style="9" customWidth="1"/>
    <col min="17" max="17" width="10.08203125" style="9" customWidth="1"/>
    <col min="18" max="18" width="12.83203125" style="9" customWidth="1"/>
    <col min="19" max="21" width="7.6640625" style="9"/>
    <col min="22" max="22" width="11.08203125" style="9" customWidth="1"/>
    <col min="23" max="16384" width="7.6640625" style="9"/>
  </cols>
  <sheetData>
    <row r="1" spans="1:16" ht="40.25" customHeight="1" thickBot="1">
      <c r="A1" s="472" t="s">
        <v>308</v>
      </c>
      <c r="B1" s="473"/>
      <c r="C1" s="473"/>
      <c r="D1" s="473"/>
      <c r="E1" s="473"/>
      <c r="F1" s="473"/>
      <c r="G1" s="473"/>
      <c r="H1" s="473"/>
      <c r="I1" s="473"/>
      <c r="J1" s="473"/>
      <c r="K1" s="474"/>
    </row>
    <row r="2" spans="1:16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6" ht="20" customHeight="1" thickBot="1">
      <c r="A3" s="494" t="s">
        <v>6</v>
      </c>
      <c r="B3" s="495"/>
      <c r="C3" s="496"/>
      <c r="D3" s="500" t="s">
        <v>1</v>
      </c>
      <c r="E3" s="501"/>
      <c r="F3" s="501"/>
      <c r="G3" s="501"/>
      <c r="H3" s="501"/>
      <c r="I3" s="501"/>
      <c r="J3" s="501"/>
      <c r="K3" s="502"/>
    </row>
    <row r="4" spans="1:16" ht="20" customHeight="1" thickBot="1">
      <c r="A4" s="497"/>
      <c r="B4" s="498"/>
      <c r="C4" s="499"/>
      <c r="D4" s="503" t="s">
        <v>371</v>
      </c>
      <c r="E4" s="504"/>
      <c r="F4" s="504"/>
      <c r="G4" s="504"/>
      <c r="H4" s="504"/>
      <c r="I4" s="504"/>
      <c r="J4" s="504"/>
      <c r="K4" s="505"/>
    </row>
    <row r="5" spans="1:16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6" ht="42" customHeight="1">
      <c r="A6" s="58" t="s">
        <v>7</v>
      </c>
      <c r="B6" s="479" t="s">
        <v>8</v>
      </c>
      <c r="C6" s="480"/>
      <c r="D6" s="480"/>
      <c r="E6" s="480"/>
      <c r="F6" s="480"/>
      <c r="G6" s="480"/>
      <c r="H6" s="480"/>
      <c r="I6" s="481"/>
      <c r="J6" s="477"/>
      <c r="K6" s="478"/>
      <c r="L6" s="220" t="s">
        <v>286</v>
      </c>
      <c r="M6" s="255" t="s">
        <v>10</v>
      </c>
    </row>
    <row r="7" spans="1:16" ht="20" customHeight="1">
      <c r="A7" s="59" t="s">
        <v>7</v>
      </c>
      <c r="B7" s="484" t="s">
        <v>165</v>
      </c>
      <c r="C7" s="421"/>
      <c r="D7" s="421"/>
      <c r="E7" s="421"/>
      <c r="F7" s="421"/>
      <c r="G7" s="421"/>
      <c r="H7" s="421"/>
      <c r="I7" s="422"/>
      <c r="J7" s="482" t="s">
        <v>300</v>
      </c>
      <c r="K7" s="483"/>
      <c r="L7" s="253" t="s">
        <v>307</v>
      </c>
      <c r="M7" s="253">
        <v>2025</v>
      </c>
    </row>
    <row r="8" spans="1:16" ht="20" customHeight="1">
      <c r="A8" s="59"/>
      <c r="B8" s="209"/>
      <c r="C8" s="210"/>
      <c r="D8" s="210"/>
      <c r="E8" s="210"/>
      <c r="F8" s="210"/>
      <c r="G8" s="210"/>
      <c r="H8" s="210"/>
      <c r="I8" s="211"/>
      <c r="J8" s="482" t="s">
        <v>301</v>
      </c>
      <c r="K8" s="483"/>
      <c r="L8" s="253" t="s">
        <v>342</v>
      </c>
      <c r="M8" s="383">
        <v>2024</v>
      </c>
    </row>
    <row r="9" spans="1:16" ht="20" customHeight="1">
      <c r="A9" s="59"/>
      <c r="B9" s="209"/>
      <c r="C9" s="210"/>
      <c r="D9" s="210"/>
      <c r="E9" s="210"/>
      <c r="F9" s="210"/>
      <c r="G9" s="210"/>
      <c r="H9" s="210"/>
      <c r="I9" s="211"/>
      <c r="J9" s="482" t="s">
        <v>305</v>
      </c>
      <c r="K9" s="483"/>
      <c r="L9" s="253" t="s">
        <v>287</v>
      </c>
      <c r="M9" s="253">
        <v>2025</v>
      </c>
    </row>
    <row r="10" spans="1:16" ht="20" customHeight="1">
      <c r="A10" s="59"/>
      <c r="B10" s="209"/>
      <c r="C10" s="210"/>
      <c r="D10" s="210"/>
      <c r="E10" s="210"/>
      <c r="F10" s="210"/>
      <c r="G10" s="210"/>
      <c r="H10" s="210"/>
      <c r="I10" s="211"/>
      <c r="J10" s="482" t="s">
        <v>303</v>
      </c>
      <c r="K10" s="483"/>
      <c r="L10" s="253" t="s">
        <v>287</v>
      </c>
      <c r="M10" s="253">
        <v>2025</v>
      </c>
    </row>
    <row r="11" spans="1:16" ht="20" customHeight="1">
      <c r="A11" s="294"/>
      <c r="B11" s="287"/>
      <c r="C11" s="288"/>
      <c r="D11" s="288"/>
      <c r="E11" s="288"/>
      <c r="F11" s="288"/>
      <c r="G11" s="288"/>
      <c r="H11" s="288"/>
      <c r="I11" s="289"/>
      <c r="J11" s="482" t="s">
        <v>306</v>
      </c>
      <c r="K11" s="483"/>
      <c r="L11" s="253" t="s">
        <v>307</v>
      </c>
      <c r="M11" s="253">
        <v>2025</v>
      </c>
    </row>
    <row r="12" spans="1:16" ht="15" customHeight="1" thickBot="1">
      <c r="A12" s="4"/>
      <c r="B12" s="4"/>
      <c r="C12" s="4"/>
      <c r="D12" s="4"/>
      <c r="E12" s="4"/>
      <c r="F12" s="4"/>
      <c r="G12" s="4"/>
      <c r="H12" s="4"/>
      <c r="I12" s="5"/>
      <c r="J12" s="4"/>
      <c r="K12" s="5"/>
    </row>
    <row r="13" spans="1:16" ht="18.75" customHeight="1" thickBot="1">
      <c r="A13" s="409" t="s">
        <v>17</v>
      </c>
      <c r="B13" s="410"/>
      <c r="C13" s="410"/>
      <c r="D13" s="410"/>
      <c r="E13" s="410"/>
      <c r="F13" s="410"/>
      <c r="G13" s="410"/>
      <c r="H13" s="410"/>
      <c r="I13" s="410"/>
      <c r="J13" s="411"/>
      <c r="K13" s="376" t="s">
        <v>344</v>
      </c>
      <c r="L13" s="385" t="s">
        <v>343</v>
      </c>
      <c r="M13" s="400" t="s">
        <v>364</v>
      </c>
      <c r="N13" s="401"/>
      <c r="O13" s="401"/>
      <c r="P13" s="402"/>
    </row>
    <row r="14" spans="1:16" ht="15.5">
      <c r="A14" s="72" t="s">
        <v>7</v>
      </c>
      <c r="B14" s="486" t="s">
        <v>20</v>
      </c>
      <c r="C14" s="486"/>
      <c r="D14" s="486"/>
      <c r="E14" s="486"/>
      <c r="F14" s="486"/>
      <c r="G14" s="486"/>
      <c r="H14" s="486"/>
      <c r="I14" s="486"/>
      <c r="J14" s="420"/>
      <c r="K14" s="371">
        <v>1729.04</v>
      </c>
      <c r="L14" s="386">
        <v>1590</v>
      </c>
      <c r="M14" s="403"/>
      <c r="N14" s="404"/>
      <c r="O14" s="404"/>
      <c r="P14" s="405"/>
    </row>
    <row r="15" spans="1:16" ht="14.5">
      <c r="A15" s="72" t="s">
        <v>7</v>
      </c>
      <c r="B15" s="486" t="s">
        <v>24</v>
      </c>
      <c r="C15" s="486"/>
      <c r="D15" s="486"/>
      <c r="E15" s="486"/>
      <c r="F15" s="486"/>
      <c r="G15" s="486"/>
      <c r="H15" s="486"/>
      <c r="I15" s="486"/>
      <c r="J15" s="420"/>
      <c r="K15" s="192" t="s">
        <v>213</v>
      </c>
      <c r="L15" s="387" t="s">
        <v>213</v>
      </c>
      <c r="M15" s="403"/>
      <c r="N15" s="404"/>
      <c r="O15" s="404"/>
      <c r="P15" s="405"/>
    </row>
    <row r="16" spans="1:16" ht="15" thickBot="1">
      <c r="A16" s="73" t="s">
        <v>7</v>
      </c>
      <c r="B16" s="492" t="s">
        <v>166</v>
      </c>
      <c r="C16" s="492"/>
      <c r="D16" s="492"/>
      <c r="E16" s="492"/>
      <c r="F16" s="492"/>
      <c r="G16" s="492"/>
      <c r="H16" s="492"/>
      <c r="I16" s="492"/>
      <c r="J16" s="493"/>
      <c r="K16" s="71">
        <v>1518</v>
      </c>
      <c r="L16" s="388">
        <v>1518</v>
      </c>
      <c r="M16" s="403"/>
      <c r="N16" s="404"/>
      <c r="O16" s="404"/>
      <c r="P16" s="405"/>
    </row>
    <row r="17" spans="1:16" ht="15" thickBot="1">
      <c r="A17" s="6"/>
      <c r="B17" s="4"/>
      <c r="C17" s="4"/>
      <c r="D17" s="4"/>
      <c r="E17" s="4"/>
      <c r="F17" s="4"/>
      <c r="G17" s="4"/>
      <c r="H17" s="4"/>
      <c r="I17" s="5"/>
      <c r="J17" s="4"/>
      <c r="K17" s="7"/>
      <c r="M17" s="403"/>
      <c r="N17" s="404"/>
      <c r="O17" s="404"/>
      <c r="P17" s="405"/>
    </row>
    <row r="18" spans="1:16" ht="20" customHeight="1" thickBot="1">
      <c r="A18" s="457" t="s">
        <v>25</v>
      </c>
      <c r="B18" s="458"/>
      <c r="C18" s="458"/>
      <c r="D18" s="458"/>
      <c r="E18" s="458"/>
      <c r="F18" s="458"/>
      <c r="G18" s="458"/>
      <c r="H18" s="458"/>
      <c r="I18" s="458"/>
      <c r="J18" s="462"/>
      <c r="K18" s="365" t="s">
        <v>26</v>
      </c>
      <c r="L18" s="365" t="s">
        <v>343</v>
      </c>
      <c r="M18" s="403"/>
      <c r="N18" s="404"/>
      <c r="O18" s="404"/>
      <c r="P18" s="405"/>
    </row>
    <row r="19" spans="1:16" ht="20" customHeight="1">
      <c r="A19" s="16" t="s">
        <v>27</v>
      </c>
      <c r="B19" s="475" t="s">
        <v>28</v>
      </c>
      <c r="C19" s="475"/>
      <c r="D19" s="475"/>
      <c r="E19" s="475"/>
      <c r="F19" s="475"/>
      <c r="G19" s="475"/>
      <c r="H19" s="475"/>
      <c r="I19" s="475"/>
      <c r="J19" s="476"/>
      <c r="K19" s="372">
        <f>K14</f>
        <v>1729.04</v>
      </c>
      <c r="L19" s="389">
        <f>L14</f>
        <v>1590</v>
      </c>
      <c r="M19" s="403"/>
      <c r="N19" s="404"/>
      <c r="O19" s="404"/>
      <c r="P19" s="405"/>
    </row>
    <row r="20" spans="1:16" ht="20" customHeight="1">
      <c r="A20" s="14" t="s">
        <v>37</v>
      </c>
      <c r="B20" s="486" t="s">
        <v>29</v>
      </c>
      <c r="C20" s="486"/>
      <c r="D20" s="486"/>
      <c r="E20" s="486"/>
      <c r="F20" s="486"/>
      <c r="G20" s="486"/>
      <c r="H20" s="486"/>
      <c r="I20" s="486"/>
      <c r="J20" s="420"/>
      <c r="K20" s="373">
        <v>0</v>
      </c>
      <c r="L20" s="390">
        <v>0</v>
      </c>
      <c r="M20" s="403"/>
      <c r="N20" s="404"/>
      <c r="O20" s="404"/>
      <c r="P20" s="405"/>
    </row>
    <row r="21" spans="1:16" ht="20" customHeight="1" thickBot="1">
      <c r="A21" s="22" t="s">
        <v>44</v>
      </c>
      <c r="B21" s="487" t="s">
        <v>31</v>
      </c>
      <c r="C21" s="487"/>
      <c r="D21" s="487"/>
      <c r="E21" s="487"/>
      <c r="F21" s="487"/>
      <c r="G21" s="487"/>
      <c r="H21" s="487"/>
      <c r="I21" s="487"/>
      <c r="J21" s="488"/>
      <c r="K21" s="374">
        <v>0</v>
      </c>
      <c r="L21" s="390">
        <v>0</v>
      </c>
      <c r="M21" s="403"/>
      <c r="N21" s="404"/>
      <c r="O21" s="404"/>
      <c r="P21" s="405"/>
    </row>
    <row r="22" spans="1:16" ht="20" customHeight="1" thickBot="1">
      <c r="A22" s="489" t="s">
        <v>32</v>
      </c>
      <c r="B22" s="490"/>
      <c r="C22" s="490"/>
      <c r="D22" s="490"/>
      <c r="E22" s="490"/>
      <c r="F22" s="490"/>
      <c r="G22" s="490"/>
      <c r="H22" s="490"/>
      <c r="I22" s="490"/>
      <c r="J22" s="491"/>
      <c r="K22" s="375">
        <f>SUM(K19:K21)</f>
        <v>1729.04</v>
      </c>
      <c r="L22" s="375">
        <f>SUM(L19:L21)</f>
        <v>1590</v>
      </c>
      <c r="M22" s="406"/>
      <c r="N22" s="407"/>
      <c r="O22" s="407"/>
      <c r="P22" s="408"/>
    </row>
    <row r="23" spans="1:16" ht="15" thickBot="1">
      <c r="A23" s="4"/>
      <c r="B23" s="4"/>
      <c r="C23" s="4"/>
      <c r="D23" s="4"/>
      <c r="E23" s="4"/>
      <c r="F23" s="4"/>
      <c r="G23" s="4"/>
      <c r="H23" s="4"/>
      <c r="I23" s="4"/>
      <c r="J23" s="4"/>
      <c r="K23" s="8"/>
    </row>
    <row r="24" spans="1:16" ht="20" customHeight="1" thickBot="1">
      <c r="A24" s="409" t="s">
        <v>40</v>
      </c>
      <c r="B24" s="427"/>
      <c r="C24" s="427"/>
      <c r="D24" s="427"/>
      <c r="E24" s="427"/>
      <c r="F24" s="427"/>
      <c r="G24" s="427"/>
      <c r="H24" s="427"/>
      <c r="I24" s="427"/>
      <c r="J24" s="428"/>
      <c r="K24" s="29" t="s">
        <v>35</v>
      </c>
    </row>
    <row r="25" spans="1:16" ht="18.75" customHeight="1" thickBot="1">
      <c r="A25" s="69" t="s">
        <v>44</v>
      </c>
      <c r="B25" s="63" t="s">
        <v>45</v>
      </c>
      <c r="C25" s="64"/>
      <c r="D25" s="65" t="s">
        <v>46</v>
      </c>
      <c r="E25" s="66">
        <v>0.01</v>
      </c>
      <c r="F25" s="65" t="s">
        <v>47</v>
      </c>
      <c r="G25" s="67">
        <v>2</v>
      </c>
      <c r="H25" s="452"/>
      <c r="I25" s="453"/>
      <c r="J25" s="454"/>
      <c r="K25" s="68">
        <f>G25*E25</f>
        <v>0.02</v>
      </c>
    </row>
    <row r="26" spans="1:16" s="61" customFormat="1" ht="18.75" customHeight="1" thickBot="1">
      <c r="A26" s="506"/>
      <c r="B26" s="507"/>
      <c r="C26" s="507"/>
      <c r="D26" s="507"/>
      <c r="E26" s="507"/>
      <c r="F26" s="507"/>
      <c r="G26" s="507"/>
      <c r="H26" s="507"/>
      <c r="I26" s="507"/>
      <c r="J26" s="507"/>
      <c r="K26" s="507"/>
      <c r="L26" s="507"/>
      <c r="M26" s="507"/>
    </row>
    <row r="27" spans="1:16" ht="20" customHeight="1" thickBot="1">
      <c r="A27" s="457" t="s">
        <v>58</v>
      </c>
      <c r="B27" s="458"/>
      <c r="C27" s="458"/>
      <c r="D27" s="458"/>
      <c r="E27" s="458"/>
      <c r="F27" s="458"/>
      <c r="G27" s="458"/>
      <c r="H27" s="458"/>
      <c r="I27" s="458"/>
      <c r="J27" s="459"/>
      <c r="K27" s="70"/>
    </row>
    <row r="28" spans="1:16" ht="58.5" customHeight="1">
      <c r="A28" s="165" t="s">
        <v>27</v>
      </c>
      <c r="B28" s="455" t="s">
        <v>284</v>
      </c>
      <c r="C28" s="455"/>
      <c r="D28" s="455"/>
      <c r="E28" s="455"/>
      <c r="F28" s="455"/>
      <c r="G28" s="455"/>
      <c r="H28" s="455"/>
      <c r="I28" s="455"/>
      <c r="J28" s="456"/>
      <c r="K28" s="166"/>
    </row>
    <row r="29" spans="1:16" s="60" customFormat="1" ht="40.25" customHeight="1">
      <c r="A29" s="463" t="s">
        <v>280</v>
      </c>
      <c r="B29" s="464"/>
      <c r="C29" s="74" t="s">
        <v>169</v>
      </c>
      <c r="D29" s="74" t="s">
        <v>113</v>
      </c>
      <c r="E29" s="485" t="s">
        <v>168</v>
      </c>
      <c r="F29" s="461"/>
      <c r="G29" s="485" t="s">
        <v>167</v>
      </c>
      <c r="H29" s="461"/>
      <c r="I29" s="460" t="s">
        <v>178</v>
      </c>
      <c r="J29" s="461"/>
      <c r="K29" s="75" t="s">
        <v>170</v>
      </c>
    </row>
    <row r="30" spans="1:16" s="60" customFormat="1" ht="40.25" customHeight="1">
      <c r="A30" s="463" t="s">
        <v>321</v>
      </c>
      <c r="B30" s="464"/>
      <c r="C30" s="232">
        <v>2</v>
      </c>
      <c r="D30" s="233">
        <v>22</v>
      </c>
      <c r="E30" s="470">
        <v>5</v>
      </c>
      <c r="F30" s="471"/>
      <c r="G30" s="520">
        <f>C30*D30*E30</f>
        <v>220</v>
      </c>
      <c r="H30" s="520"/>
      <c r="I30" s="518">
        <f t="shared" ref="I30:I34" si="0">0.06*$K$14</f>
        <v>103.74239999999999</v>
      </c>
      <c r="J30" s="519"/>
      <c r="K30" s="234">
        <f t="shared" ref="K30:K34" si="1">IF(ROUND((C30*D30*E30)-I30,2)&lt;0,0,ROUND((C30*D30*E30)-I30,2))</f>
        <v>116.26</v>
      </c>
    </row>
    <row r="31" spans="1:16" s="60" customFormat="1" ht="40.25" customHeight="1">
      <c r="A31" s="463" t="s">
        <v>322</v>
      </c>
      <c r="B31" s="464"/>
      <c r="C31" s="232">
        <v>2</v>
      </c>
      <c r="D31" s="233">
        <v>22</v>
      </c>
      <c r="E31" s="470">
        <v>5</v>
      </c>
      <c r="F31" s="471"/>
      <c r="G31" s="520">
        <f t="shared" ref="G31:G34" si="2">C31*D31*E31</f>
        <v>220</v>
      </c>
      <c r="H31" s="520"/>
      <c r="I31" s="518">
        <f t="shared" si="0"/>
        <v>103.74239999999999</v>
      </c>
      <c r="J31" s="519"/>
      <c r="K31" s="234">
        <f t="shared" si="1"/>
        <v>116.26</v>
      </c>
    </row>
    <row r="32" spans="1:16" s="60" customFormat="1" ht="40.25" customHeight="1">
      <c r="A32" s="463" t="s">
        <v>323</v>
      </c>
      <c r="B32" s="464"/>
      <c r="C32" s="232">
        <v>2</v>
      </c>
      <c r="D32" s="233">
        <v>22</v>
      </c>
      <c r="E32" s="470">
        <v>5</v>
      </c>
      <c r="F32" s="471"/>
      <c r="G32" s="520">
        <f t="shared" si="2"/>
        <v>220</v>
      </c>
      <c r="H32" s="520"/>
      <c r="I32" s="518">
        <f t="shared" si="0"/>
        <v>103.74239999999999</v>
      </c>
      <c r="J32" s="519"/>
      <c r="K32" s="234">
        <f t="shared" si="1"/>
        <v>116.26</v>
      </c>
    </row>
    <row r="33" spans="1:18" s="60" customFormat="1" ht="40.25" customHeight="1">
      <c r="A33" s="463" t="s">
        <v>324</v>
      </c>
      <c r="B33" s="464"/>
      <c r="C33" s="232">
        <v>2</v>
      </c>
      <c r="D33" s="233">
        <v>22</v>
      </c>
      <c r="E33" s="470">
        <v>4.8</v>
      </c>
      <c r="F33" s="471"/>
      <c r="G33" s="520">
        <f t="shared" si="2"/>
        <v>211.2</v>
      </c>
      <c r="H33" s="520"/>
      <c r="I33" s="518">
        <f t="shared" si="0"/>
        <v>103.74239999999999</v>
      </c>
      <c r="J33" s="519"/>
      <c r="K33" s="234">
        <f t="shared" si="1"/>
        <v>107.46</v>
      </c>
    </row>
    <row r="34" spans="1:18" s="60" customFormat="1" ht="40.25" customHeight="1">
      <c r="A34" s="463" t="s">
        <v>325</v>
      </c>
      <c r="B34" s="464"/>
      <c r="C34" s="232">
        <v>2</v>
      </c>
      <c r="D34" s="233">
        <v>22</v>
      </c>
      <c r="E34" s="470">
        <v>6.5</v>
      </c>
      <c r="F34" s="471"/>
      <c r="G34" s="520">
        <f t="shared" si="2"/>
        <v>286</v>
      </c>
      <c r="H34" s="520"/>
      <c r="I34" s="518">
        <f t="shared" si="0"/>
        <v>103.74239999999999</v>
      </c>
      <c r="J34" s="519"/>
      <c r="K34" s="234">
        <f t="shared" si="1"/>
        <v>182.26</v>
      </c>
    </row>
    <row r="35" spans="1:18" ht="20" customHeight="1" thickBo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42"/>
      <c r="M35" s="242"/>
      <c r="N35" s="212"/>
      <c r="O35" s="212"/>
      <c r="P35" s="212"/>
      <c r="Q35" s="212"/>
      <c r="R35" s="212"/>
    </row>
    <row r="36" spans="1:18" ht="20" customHeight="1" thickBot="1">
      <c r="A36" s="457" t="s">
        <v>58</v>
      </c>
      <c r="B36" s="458"/>
      <c r="C36" s="458"/>
      <c r="D36" s="458"/>
      <c r="E36" s="458"/>
      <c r="F36" s="458"/>
      <c r="G36" s="458"/>
      <c r="H36" s="458"/>
      <c r="I36" s="458"/>
      <c r="J36" s="462"/>
      <c r="K36" s="244" t="s">
        <v>26</v>
      </c>
      <c r="L36" s="368"/>
      <c r="M36" s="242"/>
      <c r="N36" s="242"/>
      <c r="O36" s="242"/>
      <c r="P36" s="242"/>
      <c r="Q36" s="242"/>
      <c r="R36" s="242"/>
    </row>
    <row r="37" spans="1:18" ht="20" customHeight="1">
      <c r="A37" s="25" t="s">
        <v>37</v>
      </c>
      <c r="B37" s="465" t="s">
        <v>345</v>
      </c>
      <c r="C37" s="466"/>
      <c r="D37" s="466"/>
      <c r="E37" s="466"/>
      <c r="F37" s="466"/>
      <c r="G37" s="466"/>
      <c r="H37" s="467"/>
      <c r="I37" s="396" t="s">
        <v>358</v>
      </c>
      <c r="J37" s="397"/>
      <c r="K37" s="245">
        <v>144.68</v>
      </c>
      <c r="L37" s="243"/>
      <c r="M37" s="243"/>
      <c r="N37" s="243"/>
      <c r="O37" s="243"/>
      <c r="P37" s="243"/>
      <c r="Q37" s="243"/>
      <c r="R37" s="243"/>
    </row>
    <row r="38" spans="1:18" ht="20" customHeight="1">
      <c r="A38" s="369"/>
      <c r="B38" s="424"/>
      <c r="C38" s="399"/>
      <c r="D38" s="399"/>
      <c r="E38" s="399"/>
      <c r="F38" s="399"/>
      <c r="G38" s="399"/>
      <c r="H38" s="521"/>
      <c r="I38" s="468" t="s">
        <v>359</v>
      </c>
      <c r="J38" s="469"/>
      <c r="K38" s="245">
        <f>146.31-8.2</f>
        <v>138.11000000000001</v>
      </c>
      <c r="L38" s="243"/>
      <c r="M38" s="243"/>
      <c r="N38" s="243"/>
      <c r="O38" s="243"/>
      <c r="P38" s="243"/>
      <c r="Q38" s="243"/>
      <c r="R38" s="243"/>
    </row>
    <row r="39" spans="1:18" ht="20" customHeight="1" thickBot="1">
      <c r="A39" s="26" t="s">
        <v>44</v>
      </c>
      <c r="B39" s="423" t="s">
        <v>346</v>
      </c>
      <c r="C39" s="423"/>
      <c r="D39" s="423"/>
      <c r="E39" s="423"/>
      <c r="F39" s="423"/>
      <c r="G39" s="423"/>
      <c r="H39" s="423"/>
      <c r="I39" s="423"/>
      <c r="J39" s="424"/>
      <c r="K39" s="244" t="s">
        <v>352</v>
      </c>
      <c r="L39" s="243"/>
      <c r="M39" s="243"/>
      <c r="N39" s="243"/>
      <c r="O39" s="243"/>
      <c r="P39" s="243"/>
      <c r="Q39" s="243"/>
      <c r="R39" s="243"/>
    </row>
    <row r="40" spans="1:18" ht="20" customHeight="1">
      <c r="A40" s="14"/>
      <c r="B40" s="398" t="s">
        <v>361</v>
      </c>
      <c r="C40" s="399"/>
      <c r="D40" s="399"/>
      <c r="E40" s="399"/>
      <c r="F40" s="399"/>
      <c r="G40" s="399"/>
      <c r="H40" s="396" t="s">
        <v>369</v>
      </c>
      <c r="I40" s="397"/>
      <c r="J40" s="27">
        <v>20.76</v>
      </c>
      <c r="K40" s="246">
        <f>ROUND((J40-J43)*J42,2)</f>
        <v>426.14</v>
      </c>
      <c r="L40" s="241"/>
      <c r="M40" s="241"/>
      <c r="N40" s="241"/>
      <c r="O40" s="241"/>
      <c r="P40" s="241"/>
      <c r="Q40" s="241"/>
      <c r="R40" s="241"/>
    </row>
    <row r="41" spans="1:18" ht="20" customHeight="1">
      <c r="A41" s="14"/>
      <c r="B41" s="398" t="s">
        <v>362</v>
      </c>
      <c r="C41" s="399"/>
      <c r="D41" s="399"/>
      <c r="E41" s="399"/>
      <c r="F41" s="399"/>
      <c r="G41" s="399"/>
      <c r="H41" s="468" t="s">
        <v>370</v>
      </c>
      <c r="I41" s="469"/>
      <c r="J41" s="27">
        <f>138/22</f>
        <v>6.2727272727272725</v>
      </c>
      <c r="K41" s="244" t="s">
        <v>360</v>
      </c>
      <c r="L41" s="241"/>
      <c r="M41" s="241"/>
      <c r="N41" s="241"/>
      <c r="O41" s="241"/>
      <c r="P41" s="241"/>
      <c r="Q41" s="241"/>
      <c r="R41" s="241"/>
    </row>
    <row r="42" spans="1:18" ht="20" customHeight="1">
      <c r="A42" s="14"/>
      <c r="B42" s="398" t="s">
        <v>156</v>
      </c>
      <c r="C42" s="425"/>
      <c r="D42" s="425"/>
      <c r="E42" s="425"/>
      <c r="F42" s="425"/>
      <c r="G42" s="425"/>
      <c r="H42" s="425"/>
      <c r="I42" s="426"/>
      <c r="J42" s="109">
        <v>22</v>
      </c>
      <c r="K42" s="367">
        <f>J41*J42</f>
        <v>138</v>
      </c>
      <c r="L42" s="237"/>
      <c r="M42" s="237"/>
      <c r="N42" s="237"/>
      <c r="O42" s="237"/>
      <c r="P42" s="237"/>
      <c r="Q42" s="237"/>
      <c r="R42" s="237"/>
    </row>
    <row r="43" spans="1:18" ht="20" customHeight="1">
      <c r="A43" s="14"/>
      <c r="B43" s="398" t="s">
        <v>157</v>
      </c>
      <c r="C43" s="425"/>
      <c r="D43" s="425"/>
      <c r="E43" s="425"/>
      <c r="F43" s="425"/>
      <c r="G43" s="425"/>
      <c r="H43" s="425"/>
      <c r="I43" s="426"/>
      <c r="J43" s="27">
        <v>1.39</v>
      </c>
      <c r="K43" s="367"/>
      <c r="L43" s="237"/>
      <c r="M43" s="237"/>
      <c r="N43" s="237"/>
      <c r="O43" s="237"/>
      <c r="P43" s="237"/>
      <c r="Q43" s="237"/>
      <c r="R43" s="237"/>
    </row>
    <row r="44" spans="1:18" ht="20" customHeight="1">
      <c r="A44" s="26" t="s">
        <v>30</v>
      </c>
      <c r="B44" s="423" t="s">
        <v>350</v>
      </c>
      <c r="C44" s="423"/>
      <c r="D44" s="423"/>
      <c r="E44" s="423"/>
      <c r="F44" s="423"/>
      <c r="G44" s="423"/>
      <c r="H44" s="423"/>
      <c r="I44" s="423"/>
      <c r="J44" s="423"/>
      <c r="K44" s="384">
        <v>35.33</v>
      </c>
      <c r="L44" s="237"/>
      <c r="M44" s="237"/>
      <c r="N44" s="237"/>
      <c r="O44" s="237"/>
      <c r="P44" s="237"/>
      <c r="Q44" s="237"/>
      <c r="R44" s="237"/>
    </row>
    <row r="45" spans="1:18" ht="20" customHeight="1">
      <c r="A45" s="26" t="s">
        <v>49</v>
      </c>
      <c r="B45" s="412" t="s">
        <v>347</v>
      </c>
      <c r="C45" s="413"/>
      <c r="D45" s="413"/>
      <c r="E45" s="413"/>
      <c r="F45" s="413"/>
      <c r="G45" s="413"/>
      <c r="H45" s="414"/>
      <c r="I45" s="370"/>
      <c r="J45" s="468" t="s">
        <v>365</v>
      </c>
      <c r="K45" s="525"/>
      <c r="L45" s="237"/>
      <c r="M45" s="237"/>
      <c r="N45" s="237"/>
      <c r="O45" s="237"/>
      <c r="P45" s="237"/>
      <c r="Q45" s="237"/>
      <c r="R45" s="237"/>
    </row>
    <row r="46" spans="1:18" ht="20" customHeight="1">
      <c r="A46" s="26"/>
      <c r="B46" s="398" t="s">
        <v>367</v>
      </c>
      <c r="C46" s="399"/>
      <c r="D46" s="399"/>
      <c r="E46" s="399"/>
      <c r="F46" s="399"/>
      <c r="G46" s="366"/>
      <c r="H46" s="366"/>
      <c r="I46" s="378">
        <f>0.3*$K$16</f>
        <v>455.4</v>
      </c>
      <c r="J46" s="218"/>
      <c r="K46" s="392">
        <f>I46*I48</f>
        <v>13.661999999999999</v>
      </c>
      <c r="L46" s="237"/>
      <c r="M46" s="237"/>
      <c r="N46" s="237"/>
      <c r="O46" s="237"/>
      <c r="P46" s="237"/>
      <c r="Q46" s="237"/>
      <c r="R46" s="237"/>
    </row>
    <row r="47" spans="1:18" ht="20" customHeight="1">
      <c r="A47" s="26"/>
      <c r="B47" s="398" t="s">
        <v>368</v>
      </c>
      <c r="C47" s="399"/>
      <c r="D47" s="399"/>
      <c r="E47" s="399"/>
      <c r="F47" s="399"/>
      <c r="G47" s="399"/>
      <c r="H47" s="399"/>
      <c r="I47" s="378">
        <f>0.05*$L$16</f>
        <v>75.900000000000006</v>
      </c>
      <c r="J47" s="468" t="s">
        <v>366</v>
      </c>
      <c r="K47" s="525"/>
      <c r="L47" s="237"/>
      <c r="M47" s="237"/>
      <c r="N47" s="237"/>
      <c r="O47" s="237"/>
      <c r="P47" s="237"/>
      <c r="Q47" s="237"/>
      <c r="R47" s="237"/>
    </row>
    <row r="48" spans="1:18" ht="20" customHeight="1">
      <c r="A48" s="26"/>
      <c r="B48" s="380" t="s">
        <v>351</v>
      </c>
      <c r="C48" s="381"/>
      <c r="D48" s="381"/>
      <c r="E48" s="381"/>
      <c r="F48" s="381"/>
      <c r="G48" s="381"/>
      <c r="H48" s="381"/>
      <c r="I48" s="382">
        <v>0.03</v>
      </c>
      <c r="J48" s="218"/>
      <c r="K48" s="391">
        <f>I47*I48</f>
        <v>2.2770000000000001</v>
      </c>
      <c r="L48" s="237"/>
      <c r="M48" s="237"/>
      <c r="N48" s="237"/>
      <c r="O48" s="237"/>
      <c r="P48" s="237"/>
      <c r="Q48" s="237"/>
      <c r="R48" s="237"/>
    </row>
    <row r="49" spans="1:18" ht="20" customHeight="1">
      <c r="A49" s="26" t="s">
        <v>51</v>
      </c>
      <c r="B49" s="423" t="s">
        <v>348</v>
      </c>
      <c r="C49" s="423"/>
      <c r="D49" s="423"/>
      <c r="E49" s="423"/>
      <c r="F49" s="423"/>
      <c r="G49" s="423"/>
      <c r="H49" s="423"/>
      <c r="I49" s="423"/>
      <c r="J49" s="423"/>
      <c r="K49" s="379">
        <f>J50-J51</f>
        <v>12.474</v>
      </c>
      <c r="L49" s="237"/>
      <c r="M49" s="237"/>
      <c r="N49" s="237"/>
      <c r="O49" s="237"/>
      <c r="P49" s="237"/>
      <c r="Q49" s="237"/>
      <c r="R49" s="237"/>
    </row>
    <row r="50" spans="1:18" ht="20" customHeight="1">
      <c r="A50" s="26"/>
      <c r="B50" s="420" t="s">
        <v>158</v>
      </c>
      <c r="C50" s="421"/>
      <c r="D50" s="421"/>
      <c r="E50" s="421"/>
      <c r="F50" s="421"/>
      <c r="G50" s="421"/>
      <c r="H50" s="421"/>
      <c r="I50" s="422"/>
      <c r="J50" s="27">
        <v>13.86</v>
      </c>
      <c r="K50" s="418"/>
      <c r="L50" s="237"/>
      <c r="M50" s="237"/>
      <c r="N50" s="237"/>
      <c r="O50" s="237"/>
      <c r="P50" s="237"/>
      <c r="Q50" s="237"/>
      <c r="R50" s="237"/>
    </row>
    <row r="51" spans="1:18" ht="20" customHeight="1">
      <c r="A51" s="26"/>
      <c r="B51" s="420" t="s">
        <v>159</v>
      </c>
      <c r="C51" s="421"/>
      <c r="D51" s="421"/>
      <c r="E51" s="421"/>
      <c r="F51" s="421"/>
      <c r="G51" s="421"/>
      <c r="H51" s="421"/>
      <c r="I51" s="422"/>
      <c r="J51" s="28">
        <f>0.1*J50</f>
        <v>1.3860000000000001</v>
      </c>
      <c r="K51" s="419"/>
      <c r="L51" s="237"/>
      <c r="M51" s="237"/>
      <c r="N51" s="237"/>
      <c r="O51" s="237"/>
      <c r="P51" s="237"/>
      <c r="Q51" s="237"/>
      <c r="R51" s="237"/>
    </row>
    <row r="52" spans="1:18" ht="20" customHeight="1" thickBot="1">
      <c r="A52" s="26" t="s">
        <v>53</v>
      </c>
      <c r="B52" s="420" t="s">
        <v>363</v>
      </c>
      <c r="C52" s="526"/>
      <c r="D52" s="526"/>
      <c r="E52" s="526"/>
      <c r="F52" s="526"/>
      <c r="G52" s="526"/>
      <c r="H52" s="526"/>
      <c r="I52" s="468" t="s">
        <v>359</v>
      </c>
      <c r="J52" s="469"/>
      <c r="K52" s="377">
        <v>11.13</v>
      </c>
      <c r="L52" s="237"/>
      <c r="M52" s="237"/>
      <c r="N52" s="237"/>
      <c r="O52" s="237"/>
      <c r="P52" s="237"/>
      <c r="Q52" s="237"/>
      <c r="R52" s="237"/>
    </row>
    <row r="53" spans="1:18" ht="20" customHeight="1">
      <c r="A53" s="26" t="s">
        <v>53</v>
      </c>
      <c r="B53" s="420" t="s">
        <v>353</v>
      </c>
      <c r="C53" s="399"/>
      <c r="D53" s="399"/>
      <c r="E53" s="399"/>
      <c r="F53" s="399"/>
      <c r="G53" s="399"/>
      <c r="H53" s="521"/>
      <c r="I53" s="396" t="s">
        <v>358</v>
      </c>
      <c r="J53" s="397"/>
      <c r="K53" s="40">
        <v>15.96</v>
      </c>
      <c r="L53" s="237"/>
      <c r="M53" s="237"/>
      <c r="N53" s="237"/>
      <c r="O53" s="237"/>
      <c r="P53" s="237"/>
      <c r="Q53" s="237"/>
      <c r="R53" s="237"/>
    </row>
    <row r="54" spans="1:18" ht="20" customHeight="1">
      <c r="A54" s="26" t="s">
        <v>55</v>
      </c>
      <c r="B54" s="199" t="s">
        <v>349</v>
      </c>
      <c r="C54" s="199"/>
      <c r="D54" s="199"/>
      <c r="E54" s="199"/>
      <c r="F54" s="199"/>
      <c r="G54" s="199"/>
      <c r="H54" s="199"/>
      <c r="I54" s="516">
        <v>20.76</v>
      </c>
      <c r="J54" s="517"/>
      <c r="K54" s="41">
        <f>I54/12</f>
        <v>1.7300000000000002</v>
      </c>
      <c r="L54" s="237"/>
      <c r="M54" s="237"/>
      <c r="N54" s="237"/>
      <c r="O54" s="237"/>
      <c r="P54" s="237"/>
      <c r="Q54" s="237"/>
      <c r="R54" s="237"/>
    </row>
    <row r="55" spans="1:18" ht="82.5" customHeight="1" thickBot="1">
      <c r="A55" s="10" t="s">
        <v>138</v>
      </c>
      <c r="B55" s="513" t="s">
        <v>341</v>
      </c>
      <c r="C55" s="514"/>
      <c r="D55" s="514"/>
      <c r="E55" s="514"/>
      <c r="F55" s="514"/>
      <c r="G55" s="514"/>
      <c r="H55" s="514"/>
      <c r="I55" s="514"/>
      <c r="J55" s="515"/>
      <c r="K55" s="364"/>
      <c r="L55" s="237"/>
      <c r="M55" s="237"/>
      <c r="N55" s="237"/>
      <c r="O55" s="237"/>
      <c r="P55" s="237"/>
      <c r="Q55" s="237"/>
      <c r="R55" s="237"/>
    </row>
    <row r="56" spans="1:18" ht="20" customHeight="1" thickBot="1">
      <c r="A56" s="4"/>
      <c r="B56" s="4"/>
      <c r="C56" s="4"/>
      <c r="D56" s="4"/>
      <c r="E56" s="4"/>
      <c r="F56" s="4"/>
      <c r="G56" s="4"/>
      <c r="H56" s="4"/>
      <c r="I56" s="5"/>
      <c r="J56" s="4"/>
      <c r="K56" s="5"/>
    </row>
    <row r="57" spans="1:18" ht="20" customHeight="1">
      <c r="A57" s="522" t="s">
        <v>63</v>
      </c>
      <c r="B57" s="523"/>
      <c r="C57" s="523"/>
      <c r="D57" s="523"/>
      <c r="E57" s="523"/>
      <c r="F57" s="523"/>
      <c r="G57" s="523"/>
      <c r="H57" s="523"/>
      <c r="I57" s="523"/>
      <c r="J57" s="149" t="s">
        <v>35</v>
      </c>
    </row>
    <row r="58" spans="1:18" ht="20" customHeight="1" thickBot="1">
      <c r="A58" s="15" t="s">
        <v>27</v>
      </c>
      <c r="B58" s="524" t="s">
        <v>64</v>
      </c>
      <c r="C58" s="524"/>
      <c r="D58" s="524"/>
      <c r="E58" s="524"/>
      <c r="F58" s="559" t="s">
        <v>65</v>
      </c>
      <c r="G58" s="559"/>
      <c r="H58" s="150">
        <v>0.05</v>
      </c>
      <c r="I58" s="151"/>
      <c r="J58" s="152">
        <f>1/12*H58</f>
        <v>4.1666666666666666E-3</v>
      </c>
      <c r="K58" s="148"/>
      <c r="L58" s="44"/>
    </row>
    <row r="59" spans="1:18" ht="20" customHeight="1">
      <c r="A59" s="566"/>
      <c r="B59" s="566"/>
      <c r="C59" s="566"/>
      <c r="D59" s="566"/>
      <c r="E59" s="566"/>
      <c r="F59" s="566"/>
      <c r="G59" s="566"/>
      <c r="H59" s="566"/>
      <c r="I59" s="566"/>
      <c r="J59" s="566"/>
      <c r="K59" s="566"/>
    </row>
    <row r="60" spans="1:18" ht="20" customHeight="1" thickBot="1">
      <c r="A60" s="563" t="s">
        <v>72</v>
      </c>
      <c r="B60" s="564"/>
      <c r="C60" s="564"/>
      <c r="D60" s="564"/>
      <c r="E60" s="564"/>
      <c r="F60" s="564"/>
      <c r="G60" s="564"/>
      <c r="H60" s="564"/>
      <c r="I60" s="564"/>
      <c r="J60" s="565"/>
    </row>
    <row r="61" spans="1:18" ht="20" customHeight="1" thickBot="1">
      <c r="A61" s="560" t="s">
        <v>259</v>
      </c>
      <c r="B61" s="561"/>
      <c r="C61" s="561"/>
      <c r="D61" s="561"/>
      <c r="E61" s="561"/>
      <c r="F61" s="561"/>
      <c r="G61" s="561"/>
      <c r="H61" s="561"/>
      <c r="I61" s="561"/>
      <c r="J61" s="562"/>
    </row>
    <row r="62" spans="1:18" ht="20" customHeight="1">
      <c r="A62" s="25" t="s">
        <v>27</v>
      </c>
      <c r="B62" s="510"/>
      <c r="C62" s="511"/>
      <c r="D62" s="512"/>
      <c r="E62" s="508" t="s">
        <v>171</v>
      </c>
      <c r="F62" s="509"/>
      <c r="G62" s="508" t="s">
        <v>172</v>
      </c>
      <c r="H62" s="576"/>
      <c r="I62" s="509"/>
      <c r="J62" s="89" t="s">
        <v>35</v>
      </c>
    </row>
    <row r="63" spans="1:18" ht="20" customHeight="1">
      <c r="A63" s="26" t="s">
        <v>37</v>
      </c>
      <c r="B63" s="420" t="s">
        <v>74</v>
      </c>
      <c r="C63" s="421"/>
      <c r="D63" s="422"/>
      <c r="E63" s="436">
        <v>3</v>
      </c>
      <c r="F63" s="601"/>
      <c r="G63" s="602">
        <v>1</v>
      </c>
      <c r="H63" s="603"/>
      <c r="I63" s="604"/>
      <c r="J63" s="90">
        <f>E63/30/12*G63</f>
        <v>8.3333333333333332E-3</v>
      </c>
    </row>
    <row r="64" spans="1:18" ht="20" customHeight="1">
      <c r="A64" s="26" t="s">
        <v>44</v>
      </c>
      <c r="B64" s="420" t="s">
        <v>75</v>
      </c>
      <c r="C64" s="421"/>
      <c r="D64" s="422"/>
      <c r="E64" s="436">
        <v>5</v>
      </c>
      <c r="F64" s="437"/>
      <c r="G64" s="433">
        <v>0.01</v>
      </c>
      <c r="H64" s="434"/>
      <c r="I64" s="435"/>
      <c r="J64" s="90">
        <f>E64/30/12*G64</f>
        <v>1.3888888888888889E-4</v>
      </c>
    </row>
    <row r="65" spans="1:13" ht="20" customHeight="1">
      <c r="A65" s="26" t="s">
        <v>30</v>
      </c>
      <c r="B65" s="420" t="s">
        <v>76</v>
      </c>
      <c r="C65" s="421"/>
      <c r="D65" s="422"/>
      <c r="E65" s="436">
        <v>1</v>
      </c>
      <c r="F65" s="437"/>
      <c r="G65" s="433">
        <v>1</v>
      </c>
      <c r="H65" s="434"/>
      <c r="I65" s="435"/>
      <c r="J65" s="90">
        <f>E65/30/12*G65</f>
        <v>2.7777777777777779E-3</v>
      </c>
      <c r="K65" s="85"/>
    </row>
    <row r="66" spans="1:13" ht="20" customHeight="1">
      <c r="A66" s="26" t="s">
        <v>49</v>
      </c>
      <c r="B66" s="420" t="s">
        <v>77</v>
      </c>
      <c r="C66" s="421"/>
      <c r="D66" s="422"/>
      <c r="E66" s="436">
        <v>120</v>
      </c>
      <c r="F66" s="437"/>
      <c r="G66" s="433">
        <v>0.02</v>
      </c>
      <c r="H66" s="434"/>
      <c r="I66" s="435"/>
      <c r="J66" s="90">
        <f>E66/30/12*G66</f>
        <v>6.6666666666666662E-3</v>
      </c>
    </row>
    <row r="67" spans="1:13" ht="20" customHeight="1">
      <c r="A67" s="26" t="s">
        <v>51</v>
      </c>
      <c r="B67" s="420" t="s">
        <v>78</v>
      </c>
      <c r="C67" s="421"/>
      <c r="D67" s="422"/>
      <c r="E67" s="436">
        <v>3</v>
      </c>
      <c r="F67" s="437"/>
      <c r="G67" s="602">
        <v>1</v>
      </c>
      <c r="H67" s="603"/>
      <c r="I67" s="604"/>
      <c r="J67" s="90">
        <f>E67/30/12*G67</f>
        <v>8.3333333333333332E-3</v>
      </c>
    </row>
    <row r="68" spans="1:13" ht="20" customHeight="1" thickBot="1">
      <c r="A68" s="10" t="s">
        <v>53</v>
      </c>
      <c r="B68" s="579" t="s">
        <v>79</v>
      </c>
      <c r="C68" s="568"/>
      <c r="D68" s="569"/>
      <c r="E68" s="431"/>
      <c r="F68" s="432"/>
      <c r="G68" s="556"/>
      <c r="H68" s="557"/>
      <c r="I68" s="558"/>
      <c r="J68" s="91"/>
    </row>
    <row r="69" spans="1:13" ht="20" customHeight="1" thickBot="1">
      <c r="A69" s="577"/>
      <c r="B69" s="578"/>
      <c r="C69" s="578"/>
      <c r="D69" s="578"/>
      <c r="E69" s="578"/>
      <c r="F69" s="578"/>
      <c r="G69" s="578"/>
      <c r="H69" s="578"/>
      <c r="I69" s="578"/>
      <c r="J69" s="578"/>
      <c r="K69" s="578"/>
      <c r="L69" s="578"/>
      <c r="M69" s="578"/>
    </row>
    <row r="70" spans="1:13" ht="20" customHeight="1">
      <c r="A70" s="587" t="s">
        <v>281</v>
      </c>
      <c r="B70" s="605"/>
      <c r="C70" s="605"/>
      <c r="D70" s="605"/>
      <c r="E70" s="605"/>
      <c r="F70" s="605"/>
      <c r="G70" s="605"/>
      <c r="H70" s="605"/>
      <c r="I70" s="605"/>
      <c r="J70" s="606"/>
    </row>
    <row r="71" spans="1:13" ht="20" customHeight="1" thickBot="1">
      <c r="A71" s="543"/>
      <c r="B71" s="544"/>
      <c r="C71" s="544"/>
      <c r="D71" s="544"/>
      <c r="E71" s="544"/>
      <c r="F71" s="544"/>
      <c r="G71" s="544"/>
      <c r="H71" s="544"/>
      <c r="I71" s="544"/>
      <c r="J71" s="545"/>
    </row>
    <row r="72" spans="1:13" s="131" customFormat="1" ht="20" customHeight="1">
      <c r="A72" s="570" t="s">
        <v>114</v>
      </c>
      <c r="B72" s="571"/>
      <c r="C72" s="571"/>
      <c r="D72" s="571"/>
      <c r="E72" s="572"/>
      <c r="F72" s="580" t="s">
        <v>188</v>
      </c>
      <c r="G72" s="580" t="s">
        <v>187</v>
      </c>
      <c r="H72" s="580" t="s">
        <v>186</v>
      </c>
      <c r="I72" s="582" t="s">
        <v>185</v>
      </c>
      <c r="J72" s="529" t="s">
        <v>117</v>
      </c>
    </row>
    <row r="73" spans="1:13" ht="20" customHeight="1" thickBot="1">
      <c r="A73" s="573"/>
      <c r="B73" s="574"/>
      <c r="C73" s="574"/>
      <c r="D73" s="574"/>
      <c r="E73" s="575"/>
      <c r="F73" s="581"/>
      <c r="G73" s="581"/>
      <c r="H73" s="581"/>
      <c r="I73" s="581"/>
      <c r="J73" s="536"/>
    </row>
    <row r="74" spans="1:13" ht="20" customHeight="1" thickBot="1">
      <c r="A74" s="479" t="s">
        <v>139</v>
      </c>
      <c r="B74" s="480"/>
      <c r="C74" s="480"/>
      <c r="D74" s="480"/>
      <c r="E74" s="481"/>
      <c r="F74" s="133" t="s">
        <v>118</v>
      </c>
      <c r="G74" s="134">
        <v>113.58</v>
      </c>
      <c r="H74" s="133">
        <v>6</v>
      </c>
      <c r="I74" s="133">
        <v>3</v>
      </c>
      <c r="J74" s="238">
        <f>ROUND(G74*I74/H74,2)</f>
        <v>56.79</v>
      </c>
    </row>
    <row r="75" spans="1:13" ht="20" customHeight="1" thickBot="1">
      <c r="A75" s="484" t="s">
        <v>252</v>
      </c>
      <c r="B75" s="421"/>
      <c r="C75" s="421"/>
      <c r="D75" s="421"/>
      <c r="E75" s="422"/>
      <c r="F75" s="83" t="s">
        <v>118</v>
      </c>
      <c r="G75" s="132">
        <v>25.23</v>
      </c>
      <c r="H75" s="83">
        <v>6</v>
      </c>
      <c r="I75" s="83">
        <v>5</v>
      </c>
      <c r="J75" s="238">
        <f t="shared" ref="J75:J84" si="3">ROUND(G75*I75/H75,2)</f>
        <v>21.03</v>
      </c>
    </row>
    <row r="76" spans="1:13" ht="36" customHeight="1" thickBot="1">
      <c r="A76" s="441" t="s">
        <v>261</v>
      </c>
      <c r="B76" s="442"/>
      <c r="C76" s="442"/>
      <c r="D76" s="442"/>
      <c r="E76" s="443"/>
      <c r="F76" s="83" t="s">
        <v>118</v>
      </c>
      <c r="G76" s="132">
        <v>31.86</v>
      </c>
      <c r="H76" s="83">
        <v>6</v>
      </c>
      <c r="I76" s="83">
        <v>3</v>
      </c>
      <c r="J76" s="238">
        <f t="shared" si="3"/>
        <v>15.93</v>
      </c>
    </row>
    <row r="77" spans="1:13" ht="20" customHeight="1" thickBot="1">
      <c r="A77" s="484" t="s">
        <v>260</v>
      </c>
      <c r="B77" s="421"/>
      <c r="C77" s="421"/>
      <c r="D77" s="421"/>
      <c r="E77" s="422"/>
      <c r="F77" s="83" t="s">
        <v>118</v>
      </c>
      <c r="G77" s="132">
        <v>10.29</v>
      </c>
      <c r="H77" s="83">
        <v>6</v>
      </c>
      <c r="I77" s="83">
        <v>4</v>
      </c>
      <c r="J77" s="238">
        <f t="shared" si="3"/>
        <v>6.86</v>
      </c>
    </row>
    <row r="78" spans="1:13" ht="20" customHeight="1" thickBot="1">
      <c r="A78" s="484" t="s">
        <v>140</v>
      </c>
      <c r="B78" s="421"/>
      <c r="C78" s="421"/>
      <c r="D78" s="421"/>
      <c r="E78" s="422"/>
      <c r="F78" s="83" t="s">
        <v>254</v>
      </c>
      <c r="G78" s="132">
        <v>73.849999999999994</v>
      </c>
      <c r="H78" s="83">
        <v>12</v>
      </c>
      <c r="I78" s="83">
        <v>2</v>
      </c>
      <c r="J78" s="238">
        <f t="shared" si="3"/>
        <v>12.31</v>
      </c>
    </row>
    <row r="79" spans="1:13" ht="20" customHeight="1" thickBot="1">
      <c r="A79" s="484" t="s">
        <v>141</v>
      </c>
      <c r="B79" s="421"/>
      <c r="C79" s="421"/>
      <c r="D79" s="421"/>
      <c r="E79" s="422"/>
      <c r="F79" s="83" t="s">
        <v>254</v>
      </c>
      <c r="G79" s="132">
        <v>10.76</v>
      </c>
      <c r="H79" s="83">
        <v>6</v>
      </c>
      <c r="I79" s="83">
        <v>5</v>
      </c>
      <c r="J79" s="238">
        <f t="shared" si="3"/>
        <v>8.9700000000000006</v>
      </c>
    </row>
    <row r="80" spans="1:13" ht="20" customHeight="1" thickBot="1">
      <c r="A80" s="444" t="s">
        <v>253</v>
      </c>
      <c r="B80" s="444"/>
      <c r="C80" s="444"/>
      <c r="D80" s="444"/>
      <c r="E80" s="445"/>
      <c r="F80" s="143" t="s">
        <v>254</v>
      </c>
      <c r="G80" s="144">
        <v>6.1</v>
      </c>
      <c r="H80" s="143">
        <v>6</v>
      </c>
      <c r="I80" s="143">
        <v>5</v>
      </c>
      <c r="J80" s="238">
        <f t="shared" si="3"/>
        <v>5.08</v>
      </c>
    </row>
    <row r="81" spans="1:24" ht="20" customHeight="1" thickBot="1">
      <c r="A81" s="444" t="s">
        <v>256</v>
      </c>
      <c r="B81" s="444"/>
      <c r="C81" s="444"/>
      <c r="D81" s="444"/>
      <c r="E81" s="445"/>
      <c r="F81" s="143" t="s">
        <v>118</v>
      </c>
      <c r="G81" s="144">
        <v>10.44</v>
      </c>
      <c r="H81" s="143">
        <v>6</v>
      </c>
      <c r="I81" s="143">
        <v>1</v>
      </c>
      <c r="J81" s="238">
        <f t="shared" si="3"/>
        <v>1.74</v>
      </c>
    </row>
    <row r="82" spans="1:24" ht="20" customHeight="1" thickBot="1">
      <c r="A82" s="444" t="s">
        <v>257</v>
      </c>
      <c r="B82" s="444"/>
      <c r="C82" s="444"/>
      <c r="D82" s="444"/>
      <c r="E82" s="445"/>
      <c r="F82" s="143" t="s">
        <v>118</v>
      </c>
      <c r="G82" s="144">
        <v>20.260000000000002</v>
      </c>
      <c r="H82" s="143">
        <v>6</v>
      </c>
      <c r="I82" s="143">
        <v>2</v>
      </c>
      <c r="J82" s="238">
        <f t="shared" si="3"/>
        <v>6.75</v>
      </c>
    </row>
    <row r="83" spans="1:24" ht="20" customHeight="1" thickBot="1">
      <c r="A83" s="484" t="s">
        <v>255</v>
      </c>
      <c r="B83" s="421"/>
      <c r="C83" s="421"/>
      <c r="D83" s="421"/>
      <c r="E83" s="422"/>
      <c r="F83" s="143" t="s">
        <v>118</v>
      </c>
      <c r="G83" s="144">
        <v>95.32</v>
      </c>
      <c r="H83" s="143">
        <v>12</v>
      </c>
      <c r="I83" s="143">
        <v>1</v>
      </c>
      <c r="J83" s="238">
        <f t="shared" si="3"/>
        <v>7.94</v>
      </c>
    </row>
    <row r="84" spans="1:24" ht="20" customHeight="1" thickBot="1">
      <c r="A84" s="567" t="s">
        <v>119</v>
      </c>
      <c r="B84" s="568"/>
      <c r="C84" s="568"/>
      <c r="D84" s="568"/>
      <c r="E84" s="569"/>
      <c r="F84" s="135" t="s">
        <v>118</v>
      </c>
      <c r="G84" s="136">
        <v>2.48</v>
      </c>
      <c r="H84" s="135">
        <v>12</v>
      </c>
      <c r="I84" s="135">
        <v>1</v>
      </c>
      <c r="J84" s="238">
        <f t="shared" si="3"/>
        <v>0.21</v>
      </c>
    </row>
    <row r="85" spans="1:24" ht="20" customHeight="1" thickBot="1">
      <c r="A85" s="586" t="s">
        <v>189</v>
      </c>
      <c r="B85" s="586"/>
      <c r="C85" s="586"/>
      <c r="D85" s="586"/>
      <c r="E85" s="586"/>
      <c r="F85" s="586"/>
      <c r="G85" s="586"/>
      <c r="H85" s="586"/>
      <c r="I85" s="586"/>
      <c r="J85" s="137">
        <f>SUM(J74:J84)</f>
        <v>143.61000000000001</v>
      </c>
    </row>
    <row r="86" spans="1:24" ht="20" customHeight="1" thickBot="1">
      <c r="A86" s="138"/>
      <c r="B86" s="138"/>
      <c r="C86" s="138"/>
      <c r="D86" s="138"/>
      <c r="E86" s="138"/>
      <c r="F86" s="138"/>
      <c r="G86" s="138"/>
      <c r="H86" s="138"/>
      <c r="I86" s="138"/>
      <c r="J86" s="138"/>
    </row>
    <row r="87" spans="1:24" ht="20" customHeight="1" thickBot="1">
      <c r="A87" s="587" t="s">
        <v>190</v>
      </c>
      <c r="B87" s="588"/>
      <c r="C87" s="588"/>
      <c r="D87" s="588"/>
      <c r="E87" s="588"/>
      <c r="F87" s="588"/>
      <c r="G87" s="588"/>
      <c r="H87" s="589"/>
    </row>
    <row r="88" spans="1:24" ht="20" customHeight="1" thickBot="1">
      <c r="A88" s="590"/>
      <c r="B88" s="591"/>
      <c r="C88" s="591"/>
      <c r="D88" s="591"/>
      <c r="E88" s="591"/>
      <c r="F88" s="591"/>
      <c r="G88" s="591"/>
      <c r="H88" s="592"/>
      <c r="I88" s="409" t="s">
        <v>326</v>
      </c>
      <c r="J88" s="593"/>
      <c r="K88" s="427" t="s">
        <v>327</v>
      </c>
      <c r="L88" s="428"/>
      <c r="M88" s="427" t="s">
        <v>328</v>
      </c>
      <c r="N88" s="428"/>
      <c r="O88" s="427" t="s">
        <v>329</v>
      </c>
      <c r="P88" s="428"/>
      <c r="Q88" s="427" t="s">
        <v>330</v>
      </c>
      <c r="R88" s="428"/>
      <c r="S88" s="539"/>
      <c r="T88" s="539"/>
      <c r="U88" s="539"/>
      <c r="V88" s="539"/>
      <c r="W88" s="539"/>
      <c r="X88" s="539"/>
    </row>
    <row r="89" spans="1:24" ht="20" customHeight="1">
      <c r="A89" s="570" t="s">
        <v>114</v>
      </c>
      <c r="B89" s="571"/>
      <c r="C89" s="571"/>
      <c r="D89" s="571"/>
      <c r="E89" s="572"/>
      <c r="F89" s="580" t="s">
        <v>188</v>
      </c>
      <c r="G89" s="580" t="s">
        <v>187</v>
      </c>
      <c r="H89" s="584" t="s">
        <v>186</v>
      </c>
      <c r="I89" s="200" t="s">
        <v>185</v>
      </c>
      <c r="J89" s="201" t="s">
        <v>117</v>
      </c>
      <c r="K89" s="527" t="s">
        <v>185</v>
      </c>
      <c r="L89" s="529" t="s">
        <v>117</v>
      </c>
      <c r="M89" s="527" t="s">
        <v>185</v>
      </c>
      <c r="N89" s="529" t="s">
        <v>117</v>
      </c>
      <c r="O89" s="527" t="s">
        <v>185</v>
      </c>
      <c r="P89" s="529" t="s">
        <v>117</v>
      </c>
      <c r="Q89" s="527" t="s">
        <v>185</v>
      </c>
      <c r="R89" s="529" t="s">
        <v>117</v>
      </c>
      <c r="S89" s="540"/>
      <c r="T89" s="540"/>
      <c r="U89" s="540"/>
      <c r="V89" s="540"/>
      <c r="W89" s="540"/>
      <c r="X89" s="540"/>
    </row>
    <row r="90" spans="1:24" ht="20" customHeight="1" thickBot="1">
      <c r="A90" s="573"/>
      <c r="B90" s="574"/>
      <c r="C90" s="574"/>
      <c r="D90" s="574"/>
      <c r="E90" s="575"/>
      <c r="F90" s="581"/>
      <c r="G90" s="583"/>
      <c r="H90" s="585"/>
      <c r="I90" s="342"/>
      <c r="J90" s="202"/>
      <c r="K90" s="535"/>
      <c r="L90" s="536"/>
      <c r="M90" s="535"/>
      <c r="N90" s="536"/>
      <c r="O90" s="528"/>
      <c r="P90" s="530"/>
      <c r="Q90" s="528"/>
      <c r="R90" s="530"/>
      <c r="S90" s="540"/>
      <c r="T90" s="540"/>
      <c r="U90" s="540"/>
      <c r="V90" s="540"/>
      <c r="W90" s="540"/>
      <c r="X90" s="540"/>
    </row>
    <row r="91" spans="1:24" ht="60" customHeight="1" thickBot="1">
      <c r="A91" s="438" t="s">
        <v>191</v>
      </c>
      <c r="B91" s="439"/>
      <c r="C91" s="439"/>
      <c r="D91" s="439"/>
      <c r="E91" s="440"/>
      <c r="F91" s="133" t="s">
        <v>118</v>
      </c>
      <c r="G91" s="327">
        <v>2254.37</v>
      </c>
      <c r="H91" s="62">
        <v>60</v>
      </c>
      <c r="I91" s="343">
        <v>0</v>
      </c>
      <c r="J91" s="341">
        <f>I91*G91/H91</f>
        <v>0</v>
      </c>
      <c r="K91" s="331">
        <v>0</v>
      </c>
      <c r="L91" s="328">
        <f>K91*G91/H91</f>
        <v>0</v>
      </c>
      <c r="M91" s="331">
        <v>0</v>
      </c>
      <c r="N91" s="330">
        <f>M91*G91/H91</f>
        <v>0</v>
      </c>
      <c r="O91" s="344">
        <v>0</v>
      </c>
      <c r="P91" s="345">
        <f>O91*G91/H91</f>
        <v>0</v>
      </c>
      <c r="Q91" s="343">
        <v>0</v>
      </c>
      <c r="R91" s="345">
        <f>Q91*G91/H91</f>
        <v>0</v>
      </c>
      <c r="S91" s="295"/>
      <c r="T91" s="296"/>
      <c r="U91" s="295"/>
      <c r="V91" s="296"/>
      <c r="W91" s="295"/>
      <c r="X91" s="296"/>
    </row>
    <row r="92" spans="1:24" ht="60" customHeight="1" thickBot="1">
      <c r="A92" s="546" t="s">
        <v>142</v>
      </c>
      <c r="B92" s="547"/>
      <c r="C92" s="547"/>
      <c r="D92" s="547"/>
      <c r="E92" s="548"/>
      <c r="F92" s="83" t="s">
        <v>118</v>
      </c>
      <c r="G92" s="327">
        <v>1066</v>
      </c>
      <c r="H92" s="203">
        <v>60</v>
      </c>
      <c r="I92" s="343">
        <v>1</v>
      </c>
      <c r="J92" s="341">
        <f t="shared" ref="J92:J107" si="4">I92*G92/H92</f>
        <v>17.766666666666666</v>
      </c>
      <c r="K92" s="331">
        <v>0</v>
      </c>
      <c r="L92" s="328">
        <f t="shared" ref="L92:L107" si="5">K92*G92/H92</f>
        <v>0</v>
      </c>
      <c r="M92" s="331">
        <v>1</v>
      </c>
      <c r="N92" s="330">
        <f t="shared" ref="N92:N107" si="6">M92*G92/H92</f>
        <v>17.766666666666666</v>
      </c>
      <c r="O92" s="344">
        <v>1</v>
      </c>
      <c r="P92" s="345">
        <f t="shared" ref="P92:P107" si="7">O92*G92/H92</f>
        <v>17.766666666666666</v>
      </c>
      <c r="Q92" s="343">
        <v>0</v>
      </c>
      <c r="R92" s="345">
        <f t="shared" ref="R92:R107" si="8">Q92*G92/H92</f>
        <v>0</v>
      </c>
      <c r="S92" s="295"/>
      <c r="T92" s="296"/>
      <c r="U92" s="295"/>
      <c r="V92" s="296"/>
      <c r="W92" s="295"/>
      <c r="X92" s="296"/>
    </row>
    <row r="93" spans="1:24" ht="60" customHeight="1" thickBot="1">
      <c r="A93" s="546" t="s">
        <v>241</v>
      </c>
      <c r="B93" s="547"/>
      <c r="C93" s="547"/>
      <c r="D93" s="547"/>
      <c r="E93" s="548"/>
      <c r="F93" s="83" t="s">
        <v>118</v>
      </c>
      <c r="G93" s="327">
        <v>3195.6</v>
      </c>
      <c r="H93" s="203">
        <v>60</v>
      </c>
      <c r="I93" s="343">
        <v>0</v>
      </c>
      <c r="J93" s="341">
        <f t="shared" si="4"/>
        <v>0</v>
      </c>
      <c r="K93" s="331">
        <v>0</v>
      </c>
      <c r="L93" s="328">
        <f t="shared" si="5"/>
        <v>0</v>
      </c>
      <c r="M93" s="331">
        <v>0</v>
      </c>
      <c r="N93" s="330">
        <f t="shared" si="6"/>
        <v>0</v>
      </c>
      <c r="O93" s="344">
        <v>1</v>
      </c>
      <c r="P93" s="345">
        <f t="shared" si="7"/>
        <v>53.26</v>
      </c>
      <c r="Q93" s="343">
        <v>0</v>
      </c>
      <c r="R93" s="345">
        <f t="shared" si="8"/>
        <v>0</v>
      </c>
      <c r="S93" s="295"/>
      <c r="T93" s="296"/>
      <c r="U93" s="295"/>
      <c r="V93" s="296"/>
      <c r="W93" s="295"/>
      <c r="X93" s="296"/>
    </row>
    <row r="94" spans="1:24" ht="60" customHeight="1" thickBot="1">
      <c r="A94" s="546" t="s">
        <v>240</v>
      </c>
      <c r="B94" s="547"/>
      <c r="C94" s="547"/>
      <c r="D94" s="547"/>
      <c r="E94" s="548"/>
      <c r="F94" s="83" t="s">
        <v>118</v>
      </c>
      <c r="G94" s="327">
        <v>119.36</v>
      </c>
      <c r="H94" s="203">
        <v>36</v>
      </c>
      <c r="I94" s="343">
        <v>2</v>
      </c>
      <c r="J94" s="341">
        <f t="shared" si="4"/>
        <v>6.6311111111111112</v>
      </c>
      <c r="K94" s="329">
        <v>2</v>
      </c>
      <c r="L94" s="328">
        <f t="shared" si="5"/>
        <v>6.6311111111111112</v>
      </c>
      <c r="M94" s="338">
        <v>2</v>
      </c>
      <c r="N94" s="330">
        <f t="shared" si="6"/>
        <v>6.6311111111111112</v>
      </c>
      <c r="O94" s="344">
        <v>3</v>
      </c>
      <c r="P94" s="345">
        <f t="shared" si="7"/>
        <v>9.9466666666666654</v>
      </c>
      <c r="Q94" s="344">
        <v>2</v>
      </c>
      <c r="R94" s="345">
        <f t="shared" si="8"/>
        <v>6.6311111111111112</v>
      </c>
      <c r="S94" s="295"/>
      <c r="T94" s="296"/>
      <c r="U94" s="295"/>
      <c r="V94" s="296"/>
      <c r="W94" s="295"/>
      <c r="X94" s="296"/>
    </row>
    <row r="95" spans="1:24" ht="60" customHeight="1" thickBot="1">
      <c r="A95" s="546" t="s">
        <v>120</v>
      </c>
      <c r="B95" s="547"/>
      <c r="C95" s="547"/>
      <c r="D95" s="547"/>
      <c r="E95" s="548"/>
      <c r="F95" s="83" t="s">
        <v>118</v>
      </c>
      <c r="G95" s="327">
        <v>66.099999999999994</v>
      </c>
      <c r="H95" s="203">
        <v>36</v>
      </c>
      <c r="I95" s="343">
        <v>15</v>
      </c>
      <c r="J95" s="341">
        <f t="shared" si="4"/>
        <v>27.541666666666664</v>
      </c>
      <c r="K95" s="331">
        <v>2</v>
      </c>
      <c r="L95" s="328">
        <f t="shared" si="5"/>
        <v>3.6722222222222221</v>
      </c>
      <c r="M95" s="331">
        <v>10</v>
      </c>
      <c r="N95" s="330">
        <f t="shared" si="6"/>
        <v>18.361111111111111</v>
      </c>
      <c r="O95" s="344">
        <v>6</v>
      </c>
      <c r="P95" s="345">
        <f t="shared" si="7"/>
        <v>11.016666666666666</v>
      </c>
      <c r="Q95" s="343">
        <v>10</v>
      </c>
      <c r="R95" s="345">
        <f t="shared" si="8"/>
        <v>18.361111111111111</v>
      </c>
      <c r="S95" s="295"/>
      <c r="T95" s="296"/>
      <c r="U95" s="295"/>
      <c r="V95" s="296"/>
      <c r="W95" s="295"/>
      <c r="X95" s="296"/>
    </row>
    <row r="96" spans="1:24" ht="60" customHeight="1" thickBot="1">
      <c r="A96" s="546" t="s">
        <v>121</v>
      </c>
      <c r="B96" s="547"/>
      <c r="C96" s="547"/>
      <c r="D96" s="547"/>
      <c r="E96" s="548"/>
      <c r="F96" s="83" t="s">
        <v>118</v>
      </c>
      <c r="G96" s="327">
        <v>100.49</v>
      </c>
      <c r="H96" s="203">
        <v>36</v>
      </c>
      <c r="I96" s="343">
        <v>15</v>
      </c>
      <c r="J96" s="341">
        <f t="shared" si="4"/>
        <v>41.87083333333333</v>
      </c>
      <c r="K96" s="332">
        <v>2</v>
      </c>
      <c r="L96" s="328">
        <f t="shared" si="5"/>
        <v>5.5827777777777774</v>
      </c>
      <c r="M96" s="332">
        <v>2</v>
      </c>
      <c r="N96" s="330">
        <f t="shared" si="6"/>
        <v>5.5827777777777774</v>
      </c>
      <c r="O96" s="344">
        <v>18</v>
      </c>
      <c r="P96" s="345">
        <f t="shared" si="7"/>
        <v>50.244999999999997</v>
      </c>
      <c r="Q96" s="343">
        <v>2</v>
      </c>
      <c r="R96" s="345">
        <f t="shared" si="8"/>
        <v>5.5827777777777774</v>
      </c>
      <c r="S96" s="295"/>
      <c r="T96" s="296"/>
      <c r="U96" s="295"/>
      <c r="V96" s="296"/>
      <c r="W96" s="295"/>
      <c r="X96" s="296"/>
    </row>
    <row r="97" spans="1:24" ht="60" customHeight="1" thickBot="1">
      <c r="A97" s="552" t="s">
        <v>242</v>
      </c>
      <c r="B97" s="553"/>
      <c r="C97" s="553"/>
      <c r="D97" s="553"/>
      <c r="E97" s="554"/>
      <c r="F97" s="83" t="s">
        <v>118</v>
      </c>
      <c r="G97" s="327">
        <v>27.99</v>
      </c>
      <c r="H97" s="203">
        <v>36</v>
      </c>
      <c r="I97" s="344">
        <v>0</v>
      </c>
      <c r="J97" s="346">
        <f t="shared" si="4"/>
        <v>0</v>
      </c>
      <c r="K97" s="336">
        <v>0</v>
      </c>
      <c r="L97" s="330">
        <f t="shared" si="5"/>
        <v>0</v>
      </c>
      <c r="M97" s="336">
        <v>0</v>
      </c>
      <c r="N97" s="330">
        <f t="shared" si="6"/>
        <v>0</v>
      </c>
      <c r="O97" s="344">
        <v>0</v>
      </c>
      <c r="P97" s="345">
        <f t="shared" si="7"/>
        <v>0</v>
      </c>
      <c r="Q97" s="344">
        <v>0</v>
      </c>
      <c r="R97" s="345">
        <f t="shared" si="8"/>
        <v>0</v>
      </c>
      <c r="S97" s="295"/>
      <c r="T97" s="296"/>
      <c r="U97" s="295"/>
      <c r="V97" s="296"/>
      <c r="W97" s="295"/>
      <c r="X97" s="296"/>
    </row>
    <row r="98" spans="1:24" ht="60" customHeight="1" thickBot="1">
      <c r="A98" s="552" t="s">
        <v>243</v>
      </c>
      <c r="B98" s="553"/>
      <c r="C98" s="553"/>
      <c r="D98" s="553"/>
      <c r="E98" s="554"/>
      <c r="F98" s="83" t="s">
        <v>235</v>
      </c>
      <c r="G98" s="327">
        <v>645.41999999999996</v>
      </c>
      <c r="H98" s="203">
        <v>36</v>
      </c>
      <c r="I98" s="344">
        <v>0</v>
      </c>
      <c r="J98" s="346">
        <f t="shared" si="4"/>
        <v>0</v>
      </c>
      <c r="K98" s="336">
        <v>0</v>
      </c>
      <c r="L98" s="330">
        <f t="shared" si="5"/>
        <v>0</v>
      </c>
      <c r="M98" s="336">
        <v>0</v>
      </c>
      <c r="N98" s="330">
        <f t="shared" si="6"/>
        <v>0</v>
      </c>
      <c r="O98" s="344">
        <v>0</v>
      </c>
      <c r="P98" s="345">
        <f t="shared" si="7"/>
        <v>0</v>
      </c>
      <c r="Q98" s="344">
        <v>0</v>
      </c>
      <c r="R98" s="345">
        <f t="shared" si="8"/>
        <v>0</v>
      </c>
      <c r="S98" s="295"/>
      <c r="T98" s="296"/>
      <c r="U98" s="295"/>
      <c r="V98" s="296"/>
      <c r="W98" s="295"/>
      <c r="X98" s="296"/>
    </row>
    <row r="99" spans="1:24" ht="60" customHeight="1" thickBot="1">
      <c r="A99" s="546" t="s">
        <v>122</v>
      </c>
      <c r="B99" s="547"/>
      <c r="C99" s="547"/>
      <c r="D99" s="547"/>
      <c r="E99" s="548"/>
      <c r="F99" s="83" t="s">
        <v>118</v>
      </c>
      <c r="G99" s="327">
        <v>76.97</v>
      </c>
      <c r="H99" s="203">
        <v>36</v>
      </c>
      <c r="I99" s="343">
        <v>30</v>
      </c>
      <c r="J99" s="341">
        <f t="shared" si="4"/>
        <v>64.141666666666666</v>
      </c>
      <c r="K99" s="334">
        <v>12</v>
      </c>
      <c r="L99" s="328">
        <f t="shared" si="5"/>
        <v>25.656666666666666</v>
      </c>
      <c r="M99" s="334">
        <v>3</v>
      </c>
      <c r="N99" s="330">
        <f t="shared" si="6"/>
        <v>6.4141666666666666</v>
      </c>
      <c r="O99" s="344">
        <v>2</v>
      </c>
      <c r="P99" s="345">
        <f t="shared" si="7"/>
        <v>4.2761111111111108</v>
      </c>
      <c r="Q99" s="343">
        <v>5</v>
      </c>
      <c r="R99" s="345">
        <f t="shared" si="8"/>
        <v>10.690277777777778</v>
      </c>
      <c r="S99" s="295"/>
      <c r="T99" s="296"/>
      <c r="U99" s="295"/>
      <c r="V99" s="296"/>
      <c r="W99" s="295"/>
      <c r="X99" s="296"/>
    </row>
    <row r="100" spans="1:24" ht="80" customHeight="1" thickBot="1">
      <c r="A100" s="546" t="s">
        <v>143</v>
      </c>
      <c r="B100" s="547"/>
      <c r="C100" s="547"/>
      <c r="D100" s="547"/>
      <c r="E100" s="548"/>
      <c r="F100" s="83" t="s">
        <v>118</v>
      </c>
      <c r="G100" s="327">
        <v>1121.71</v>
      </c>
      <c r="H100" s="84">
        <v>60</v>
      </c>
      <c r="I100" s="343">
        <v>1</v>
      </c>
      <c r="J100" s="341">
        <f t="shared" si="4"/>
        <v>18.695166666666669</v>
      </c>
      <c r="K100" s="333">
        <v>1</v>
      </c>
      <c r="L100" s="328">
        <f t="shared" si="5"/>
        <v>18.695166666666669</v>
      </c>
      <c r="M100" s="333">
        <v>1</v>
      </c>
      <c r="N100" s="330">
        <f t="shared" si="6"/>
        <v>18.695166666666669</v>
      </c>
      <c r="O100" s="344">
        <v>1</v>
      </c>
      <c r="P100" s="345">
        <f t="shared" si="7"/>
        <v>18.695166666666669</v>
      </c>
      <c r="Q100" s="343">
        <v>1</v>
      </c>
      <c r="R100" s="345">
        <f t="shared" si="8"/>
        <v>18.695166666666669</v>
      </c>
      <c r="S100" s="295"/>
      <c r="T100" s="296"/>
      <c r="U100" s="295"/>
      <c r="V100" s="296"/>
      <c r="W100" s="295"/>
      <c r="X100" s="296"/>
    </row>
    <row r="101" spans="1:24" ht="60" customHeight="1" thickBot="1">
      <c r="A101" s="546" t="s">
        <v>144</v>
      </c>
      <c r="B101" s="547"/>
      <c r="C101" s="547"/>
      <c r="D101" s="547"/>
      <c r="E101" s="548"/>
      <c r="F101" s="83" t="s">
        <v>118</v>
      </c>
      <c r="G101" s="327">
        <v>66.959999999999994</v>
      </c>
      <c r="H101" s="84">
        <v>36</v>
      </c>
      <c r="I101" s="343">
        <v>2</v>
      </c>
      <c r="J101" s="341">
        <f t="shared" si="4"/>
        <v>3.7199999999999998</v>
      </c>
      <c r="K101" s="335">
        <v>4</v>
      </c>
      <c r="L101" s="328">
        <f t="shared" si="5"/>
        <v>7.4399999999999995</v>
      </c>
      <c r="M101" s="335">
        <v>2</v>
      </c>
      <c r="N101" s="330">
        <f t="shared" si="6"/>
        <v>3.7199999999999998</v>
      </c>
      <c r="O101" s="344">
        <v>2</v>
      </c>
      <c r="P101" s="345">
        <f t="shared" si="7"/>
        <v>3.7199999999999998</v>
      </c>
      <c r="Q101" s="343">
        <v>4</v>
      </c>
      <c r="R101" s="345">
        <f t="shared" si="8"/>
        <v>7.4399999999999995</v>
      </c>
      <c r="S101" s="295"/>
      <c r="T101" s="296"/>
      <c r="U101" s="295"/>
      <c r="V101" s="296"/>
      <c r="W101" s="295"/>
      <c r="X101" s="296"/>
    </row>
    <row r="102" spans="1:24" ht="60" customHeight="1" thickBot="1">
      <c r="A102" s="546" t="s">
        <v>123</v>
      </c>
      <c r="B102" s="547"/>
      <c r="C102" s="547"/>
      <c r="D102" s="547"/>
      <c r="E102" s="548"/>
      <c r="F102" s="83" t="s">
        <v>118</v>
      </c>
      <c r="G102" s="327">
        <v>22.93</v>
      </c>
      <c r="H102" s="84">
        <v>36</v>
      </c>
      <c r="I102" s="343">
        <v>15</v>
      </c>
      <c r="J102" s="341">
        <f t="shared" si="4"/>
        <v>9.5541666666666671</v>
      </c>
      <c r="K102" s="331">
        <v>12</v>
      </c>
      <c r="L102" s="328">
        <f t="shared" si="5"/>
        <v>7.6433333333333326</v>
      </c>
      <c r="M102" s="331">
        <v>5</v>
      </c>
      <c r="N102" s="330">
        <f t="shared" si="6"/>
        <v>3.1847222222222222</v>
      </c>
      <c r="O102" s="344">
        <v>2</v>
      </c>
      <c r="P102" s="345">
        <f t="shared" si="7"/>
        <v>1.2738888888888888</v>
      </c>
      <c r="Q102" s="343">
        <v>10</v>
      </c>
      <c r="R102" s="345">
        <f t="shared" si="8"/>
        <v>6.3694444444444445</v>
      </c>
      <c r="S102" s="295"/>
      <c r="T102" s="296"/>
      <c r="U102" s="295"/>
      <c r="V102" s="296"/>
      <c r="W102" s="295"/>
      <c r="X102" s="296"/>
    </row>
    <row r="103" spans="1:24" ht="60" customHeight="1" thickBot="1">
      <c r="A103" s="546" t="s">
        <v>124</v>
      </c>
      <c r="B103" s="547"/>
      <c r="C103" s="547"/>
      <c r="D103" s="547"/>
      <c r="E103" s="548"/>
      <c r="F103" s="83" t="s">
        <v>118</v>
      </c>
      <c r="G103" s="327">
        <v>3.12</v>
      </c>
      <c r="H103" s="84">
        <v>36</v>
      </c>
      <c r="I103" s="343">
        <v>5</v>
      </c>
      <c r="J103" s="341">
        <f t="shared" si="4"/>
        <v>0.43333333333333335</v>
      </c>
      <c r="K103" s="331">
        <v>0</v>
      </c>
      <c r="L103" s="328">
        <f t="shared" si="5"/>
        <v>0</v>
      </c>
      <c r="M103" s="331">
        <v>2</v>
      </c>
      <c r="N103" s="330">
        <f t="shared" si="6"/>
        <v>0.17333333333333334</v>
      </c>
      <c r="O103" s="344">
        <v>5</v>
      </c>
      <c r="P103" s="345">
        <f t="shared" si="7"/>
        <v>0.43333333333333335</v>
      </c>
      <c r="Q103" s="343">
        <v>2</v>
      </c>
      <c r="R103" s="345">
        <f t="shared" si="8"/>
        <v>0.17333333333333334</v>
      </c>
      <c r="S103" s="295"/>
      <c r="T103" s="296"/>
      <c r="U103" s="295"/>
      <c r="V103" s="296"/>
      <c r="W103" s="295"/>
      <c r="X103" s="296"/>
    </row>
    <row r="104" spans="1:24" ht="60" customHeight="1" thickBot="1">
      <c r="A104" s="546" t="s">
        <v>244</v>
      </c>
      <c r="B104" s="547"/>
      <c r="C104" s="547"/>
      <c r="D104" s="547"/>
      <c r="E104" s="548"/>
      <c r="F104" s="83" t="s">
        <v>118</v>
      </c>
      <c r="G104" s="327">
        <v>16.98</v>
      </c>
      <c r="H104" s="146">
        <v>36</v>
      </c>
      <c r="I104" s="343">
        <v>1</v>
      </c>
      <c r="J104" s="341">
        <f t="shared" si="4"/>
        <v>0.47166666666666668</v>
      </c>
      <c r="K104" s="331">
        <v>0</v>
      </c>
      <c r="L104" s="328">
        <f t="shared" si="5"/>
        <v>0</v>
      </c>
      <c r="M104" s="331">
        <v>2</v>
      </c>
      <c r="N104" s="330">
        <f t="shared" si="6"/>
        <v>0.94333333333333336</v>
      </c>
      <c r="O104" s="344">
        <v>2</v>
      </c>
      <c r="P104" s="345">
        <f t="shared" si="7"/>
        <v>0.94333333333333336</v>
      </c>
      <c r="Q104" s="343">
        <v>1</v>
      </c>
      <c r="R104" s="345">
        <f t="shared" si="8"/>
        <v>0.47166666666666668</v>
      </c>
      <c r="S104" s="295"/>
      <c r="T104" s="296"/>
      <c r="U104" s="295"/>
      <c r="V104" s="296"/>
      <c r="W104" s="295"/>
      <c r="X104" s="296"/>
    </row>
    <row r="105" spans="1:24" ht="86.5" customHeight="1" thickBot="1">
      <c r="A105" s="549" t="s">
        <v>245</v>
      </c>
      <c r="B105" s="550"/>
      <c r="C105" s="550"/>
      <c r="D105" s="550"/>
      <c r="E105" s="551"/>
      <c r="F105" s="143" t="s">
        <v>118</v>
      </c>
      <c r="G105" s="327">
        <v>29.13</v>
      </c>
      <c r="H105" s="84">
        <v>36</v>
      </c>
      <c r="I105" s="343">
        <v>2</v>
      </c>
      <c r="J105" s="341">
        <f t="shared" si="4"/>
        <v>1.6183333333333332</v>
      </c>
      <c r="K105" s="331">
        <v>0</v>
      </c>
      <c r="L105" s="328">
        <f t="shared" si="5"/>
        <v>0</v>
      </c>
      <c r="M105" s="331">
        <v>3</v>
      </c>
      <c r="N105" s="330">
        <f t="shared" si="6"/>
        <v>2.4275000000000002</v>
      </c>
      <c r="O105" s="344">
        <v>4</v>
      </c>
      <c r="P105" s="345">
        <f t="shared" si="7"/>
        <v>3.2366666666666664</v>
      </c>
      <c r="Q105" s="343">
        <v>2</v>
      </c>
      <c r="R105" s="345">
        <f t="shared" si="8"/>
        <v>1.6183333333333332</v>
      </c>
      <c r="S105" s="295"/>
      <c r="T105" s="296"/>
      <c r="U105" s="295"/>
      <c r="V105" s="296"/>
      <c r="W105" s="295"/>
      <c r="X105" s="296"/>
    </row>
    <row r="106" spans="1:24" ht="86.5" customHeight="1" thickBot="1">
      <c r="A106" s="555" t="s">
        <v>247</v>
      </c>
      <c r="B106" s="555"/>
      <c r="C106" s="555"/>
      <c r="D106" s="555"/>
      <c r="E106" s="555"/>
      <c r="F106" s="83" t="s">
        <v>118</v>
      </c>
      <c r="G106" s="327">
        <v>122.73</v>
      </c>
      <c r="H106" s="84">
        <v>36</v>
      </c>
      <c r="I106" s="343">
        <v>1</v>
      </c>
      <c r="J106" s="341">
        <f t="shared" si="4"/>
        <v>3.4091666666666667</v>
      </c>
      <c r="K106" s="331">
        <v>1</v>
      </c>
      <c r="L106" s="328">
        <f t="shared" si="5"/>
        <v>3.4091666666666667</v>
      </c>
      <c r="M106" s="331">
        <v>1</v>
      </c>
      <c r="N106" s="330">
        <f t="shared" si="6"/>
        <v>3.4091666666666667</v>
      </c>
      <c r="O106" s="344">
        <v>2</v>
      </c>
      <c r="P106" s="345">
        <f t="shared" si="7"/>
        <v>6.8183333333333334</v>
      </c>
      <c r="Q106" s="343">
        <v>2</v>
      </c>
      <c r="R106" s="345">
        <f t="shared" si="8"/>
        <v>6.8183333333333334</v>
      </c>
      <c r="S106" s="295"/>
      <c r="T106" s="296"/>
      <c r="U106" s="295"/>
      <c r="V106" s="296"/>
      <c r="W106" s="295"/>
      <c r="X106" s="296"/>
    </row>
    <row r="107" spans="1:24" ht="86.5" customHeight="1" thickBot="1">
      <c r="A107" s="555" t="s">
        <v>246</v>
      </c>
      <c r="B107" s="555"/>
      <c r="C107" s="555"/>
      <c r="D107" s="555"/>
      <c r="E107" s="555"/>
      <c r="F107" s="83" t="s">
        <v>118</v>
      </c>
      <c r="G107" s="327">
        <v>6.87</v>
      </c>
      <c r="H107" s="340">
        <v>12</v>
      </c>
      <c r="I107" s="343">
        <v>2</v>
      </c>
      <c r="J107" s="341">
        <f t="shared" si="4"/>
        <v>1.145</v>
      </c>
      <c r="K107" s="331">
        <v>2</v>
      </c>
      <c r="L107" s="328">
        <f t="shared" si="5"/>
        <v>1.145</v>
      </c>
      <c r="M107" s="331">
        <v>2</v>
      </c>
      <c r="N107" s="330">
        <f t="shared" si="6"/>
        <v>1.145</v>
      </c>
      <c r="O107" s="344">
        <v>2</v>
      </c>
      <c r="P107" s="345">
        <f t="shared" si="7"/>
        <v>1.145</v>
      </c>
      <c r="Q107" s="343">
        <v>2</v>
      </c>
      <c r="R107" s="345">
        <f t="shared" si="8"/>
        <v>1.145</v>
      </c>
      <c r="S107" s="295"/>
      <c r="T107" s="296"/>
      <c r="U107" s="295"/>
      <c r="V107" s="296"/>
      <c r="W107" s="295"/>
      <c r="X107" s="296"/>
    </row>
    <row r="108" spans="1:24" ht="20" customHeight="1" thickBot="1">
      <c r="A108" s="543" t="s">
        <v>192</v>
      </c>
      <c r="B108" s="544"/>
      <c r="C108" s="544"/>
      <c r="D108" s="544"/>
      <c r="E108" s="544"/>
      <c r="F108" s="544"/>
      <c r="G108" s="544"/>
      <c r="H108" s="545"/>
      <c r="I108" s="533">
        <f>SUM(J91:J107)</f>
        <v>196.9987777777778</v>
      </c>
      <c r="J108" s="538"/>
      <c r="K108" s="537">
        <f>SUM(L91:L107)</f>
        <v>79.875444444444426</v>
      </c>
      <c r="L108" s="538"/>
      <c r="M108" s="537">
        <f>SUM(N91:N107)</f>
        <v>88.454055555555541</v>
      </c>
      <c r="N108" s="538"/>
      <c r="O108" s="533">
        <f>SUM(P91:P107)</f>
        <v>182.77683333333331</v>
      </c>
      <c r="P108" s="534"/>
      <c r="Q108" s="533">
        <f>SUM(R91:R107)</f>
        <v>83.996555555555545</v>
      </c>
      <c r="R108" s="534"/>
      <c r="S108" s="541"/>
      <c r="T108" s="541"/>
      <c r="U108" s="541"/>
      <c r="V108" s="541"/>
      <c r="W108" s="541"/>
      <c r="X108" s="541"/>
    </row>
    <row r="109" spans="1:24" ht="20" customHeight="1" thickBot="1">
      <c r="A109" s="409" t="s">
        <v>282</v>
      </c>
      <c r="B109" s="427"/>
      <c r="C109" s="427"/>
      <c r="D109" s="427"/>
      <c r="E109" s="427"/>
      <c r="F109" s="427"/>
      <c r="G109" s="427"/>
      <c r="H109" s="428"/>
      <c r="I109" s="531">
        <v>1</v>
      </c>
      <c r="J109" s="532"/>
      <c r="K109" s="531">
        <v>1</v>
      </c>
      <c r="L109" s="532"/>
      <c r="M109" s="531">
        <v>1</v>
      </c>
      <c r="N109" s="532"/>
      <c r="O109" s="531">
        <v>1</v>
      </c>
      <c r="P109" s="532"/>
      <c r="Q109" s="531">
        <v>1</v>
      </c>
      <c r="R109" s="532"/>
      <c r="S109" s="542"/>
      <c r="T109" s="542"/>
      <c r="U109" s="542"/>
      <c r="V109" s="542"/>
      <c r="W109" s="542"/>
      <c r="X109" s="542"/>
    </row>
    <row r="110" spans="1:24" ht="20" customHeight="1" thickBot="1">
      <c r="A110" s="543" t="s">
        <v>283</v>
      </c>
      <c r="B110" s="544"/>
      <c r="C110" s="544"/>
      <c r="D110" s="544"/>
      <c r="E110" s="544"/>
      <c r="F110" s="544"/>
      <c r="G110" s="544"/>
      <c r="H110" s="544"/>
      <c r="I110" s="239">
        <f>I108/I109</f>
        <v>196.9987777777778</v>
      </c>
      <c r="J110" s="239"/>
      <c r="K110" s="239">
        <f t="shared" ref="K110" si="9">K108/K109</f>
        <v>79.875444444444426</v>
      </c>
      <c r="L110" s="239"/>
      <c r="M110" s="239">
        <f t="shared" ref="M110" si="10">M108/M109</f>
        <v>88.454055555555541</v>
      </c>
      <c r="N110" s="239"/>
      <c r="O110" s="239">
        <f t="shared" ref="O110" si="11">O108/O109</f>
        <v>182.77683333333331</v>
      </c>
      <c r="P110" s="239"/>
      <c r="Q110" s="239">
        <f t="shared" ref="Q110" si="12">Q108/Q109</f>
        <v>83.996555555555545</v>
      </c>
      <c r="R110" s="239"/>
      <c r="S110" s="297"/>
      <c r="T110" s="297"/>
      <c r="U110" s="297"/>
      <c r="V110" s="297"/>
      <c r="W110" s="297"/>
      <c r="X110" s="297"/>
    </row>
    <row r="111" spans="1:24" ht="20" customHeight="1" thickBot="1">
      <c r="A111" s="139"/>
      <c r="B111" s="139"/>
      <c r="C111" s="139"/>
      <c r="D111" s="139"/>
      <c r="E111" s="139"/>
      <c r="F111" s="139"/>
      <c r="G111" s="139"/>
      <c r="H111" s="139"/>
      <c r="I111" s="139"/>
      <c r="J111" s="139"/>
      <c r="L111" s="145"/>
      <c r="S111" s="241"/>
      <c r="T111" s="241"/>
      <c r="U111" s="241"/>
      <c r="V111" s="241"/>
      <c r="W111" s="241"/>
      <c r="X111" s="241"/>
    </row>
    <row r="112" spans="1:24" ht="20" customHeight="1" thickBot="1">
      <c r="A112" s="457" t="s">
        <v>93</v>
      </c>
      <c r="B112" s="458"/>
      <c r="C112" s="458"/>
      <c r="D112" s="458"/>
      <c r="E112" s="458"/>
      <c r="F112" s="458"/>
      <c r="G112" s="458"/>
      <c r="H112" s="458"/>
      <c r="I112" s="462"/>
      <c r="J112" s="142" t="s">
        <v>35</v>
      </c>
      <c r="K112" s="446" t="s">
        <v>374</v>
      </c>
      <c r="L112" s="447"/>
    </row>
    <row r="113" spans="1:12" ht="20" customHeight="1" thickBot="1">
      <c r="A113" s="128" t="s">
        <v>27</v>
      </c>
      <c r="B113" s="594" t="s">
        <v>248</v>
      </c>
      <c r="C113" s="594"/>
      <c r="D113" s="594"/>
      <c r="E113" s="594"/>
      <c r="F113" s="594"/>
      <c r="G113" s="594"/>
      <c r="H113" s="594"/>
      <c r="I113" s="595"/>
      <c r="J113" s="141">
        <v>0.05</v>
      </c>
      <c r="K113" s="448"/>
      <c r="L113" s="449"/>
    </row>
    <row r="114" spans="1:12" ht="20" customHeight="1" thickBot="1">
      <c r="A114" s="57" t="s">
        <v>37</v>
      </c>
      <c r="B114" s="596" t="s">
        <v>249</v>
      </c>
      <c r="C114" s="596"/>
      <c r="D114" s="596"/>
      <c r="E114" s="597"/>
      <c r="F114" s="597"/>
      <c r="G114" s="597"/>
      <c r="H114" s="597"/>
      <c r="I114" s="598"/>
      <c r="J114" s="140">
        <v>0.05</v>
      </c>
      <c r="K114" s="450"/>
      <c r="L114" s="451"/>
    </row>
    <row r="115" spans="1:12" ht="20" customHeight="1">
      <c r="A115" s="43"/>
      <c r="B115" s="78"/>
      <c r="C115" s="127"/>
      <c r="D115" s="127"/>
      <c r="E115" s="429" t="s">
        <v>96</v>
      </c>
      <c r="F115" s="430"/>
      <c r="G115" s="394" t="s">
        <v>97</v>
      </c>
      <c r="H115" s="873" t="s">
        <v>375</v>
      </c>
      <c r="I115" s="874"/>
    </row>
    <row r="116" spans="1:12" ht="20" customHeight="1">
      <c r="A116" s="122" t="s">
        <v>44</v>
      </c>
      <c r="B116" s="415" t="s">
        <v>183</v>
      </c>
      <c r="C116" s="415"/>
      <c r="D116" s="415"/>
      <c r="E116" s="235" t="s">
        <v>99</v>
      </c>
      <c r="F116" s="81" cm="1">
        <f t="array" ref="F116">IF($G$115="Real",0.0165,IF($G$115="Presumido",0.0065,ERRO))</f>
        <v>1.6500000000000001E-2</v>
      </c>
      <c r="G116" s="416"/>
      <c r="H116" s="875"/>
      <c r="I116" s="876"/>
    </row>
    <row r="117" spans="1:12" ht="20" customHeight="1">
      <c r="A117" s="122"/>
      <c r="B117" s="415"/>
      <c r="C117" s="415"/>
      <c r="D117" s="415"/>
      <c r="E117" s="235" t="s">
        <v>101</v>
      </c>
      <c r="F117" s="81" cm="1">
        <f t="array" ref="F117">IF($G$115="Real",0.076,IF($G$115="Presumido",0.03,ERRO))</f>
        <v>7.5999999999999998E-2</v>
      </c>
      <c r="G117" s="417"/>
      <c r="H117" s="875"/>
      <c r="I117" s="876"/>
    </row>
    <row r="118" spans="1:12" ht="20" customHeight="1">
      <c r="A118" s="122"/>
      <c r="B118" s="415" t="s">
        <v>300</v>
      </c>
      <c r="C118" s="415"/>
      <c r="D118" s="415"/>
      <c r="E118" s="235" t="s">
        <v>103</v>
      </c>
      <c r="F118" s="81">
        <v>0.02</v>
      </c>
      <c r="G118" s="292">
        <f>SUM(F116:F118)</f>
        <v>0.1125</v>
      </c>
      <c r="H118" s="877"/>
      <c r="I118" s="878"/>
    </row>
    <row r="119" spans="1:12" ht="14.5">
      <c r="A119" s="236"/>
      <c r="B119" s="415" t="s">
        <v>301</v>
      </c>
      <c r="C119" s="415"/>
      <c r="D119" s="415"/>
      <c r="E119" s="293" t="s">
        <v>103</v>
      </c>
      <c r="F119" s="393">
        <v>2.5000000000000001E-2</v>
      </c>
      <c r="G119" s="292">
        <f>SUM(F116:F117,F119)</f>
        <v>0.11749999999999999</v>
      </c>
      <c r="H119" s="877"/>
      <c r="I119" s="878"/>
    </row>
    <row r="120" spans="1:12" ht="15" thickBot="1">
      <c r="A120" s="236"/>
      <c r="B120" s="415" t="s">
        <v>305</v>
      </c>
      <c r="C120" s="415"/>
      <c r="D120" s="415"/>
      <c r="E120" s="293" t="s">
        <v>103</v>
      </c>
      <c r="F120" s="240">
        <v>0.05</v>
      </c>
      <c r="G120" s="292">
        <f>SUM(F116:F117,F120)</f>
        <v>0.14250000000000002</v>
      </c>
      <c r="H120" s="879"/>
      <c r="I120" s="880"/>
    </row>
    <row r="121" spans="1:12" ht="14.5">
      <c r="A121" s="236"/>
      <c r="B121" s="415" t="s">
        <v>303</v>
      </c>
      <c r="C121" s="415"/>
      <c r="D121" s="415"/>
      <c r="E121" s="293" t="s">
        <v>103</v>
      </c>
      <c r="F121" s="393">
        <v>0.04</v>
      </c>
      <c r="G121" s="292">
        <f>SUM(F116:F117,F121)</f>
        <v>0.13250000000000001</v>
      </c>
    </row>
    <row r="122" spans="1:12" ht="14.5">
      <c r="A122" s="236"/>
      <c r="B122" s="415" t="s">
        <v>309</v>
      </c>
      <c r="C122" s="415"/>
      <c r="D122" s="415"/>
      <c r="E122" s="293" t="s">
        <v>103</v>
      </c>
      <c r="F122" s="298">
        <v>0.03</v>
      </c>
      <c r="G122" s="292">
        <f>F116+F117+F122</f>
        <v>0.1225</v>
      </c>
    </row>
  </sheetData>
  <mergeCells count="202">
    <mergeCell ref="A74:E74"/>
    <mergeCell ref="A75:E75"/>
    <mergeCell ref="A77:E77"/>
    <mergeCell ref="E67:F67"/>
    <mergeCell ref="E63:F63"/>
    <mergeCell ref="G63:I63"/>
    <mergeCell ref="G66:I66"/>
    <mergeCell ref="G67:I67"/>
    <mergeCell ref="B63:D63"/>
    <mergeCell ref="B64:D64"/>
    <mergeCell ref="B65:D65"/>
    <mergeCell ref="A70:J71"/>
    <mergeCell ref="B120:D120"/>
    <mergeCell ref="B121:D121"/>
    <mergeCell ref="A110:H110"/>
    <mergeCell ref="B119:D119"/>
    <mergeCell ref="B118:D118"/>
    <mergeCell ref="B116:D117"/>
    <mergeCell ref="A112:I112"/>
    <mergeCell ref="B113:I113"/>
    <mergeCell ref="B114:I114"/>
    <mergeCell ref="H115:I120"/>
    <mergeCell ref="A89:E90"/>
    <mergeCell ref="F89:F90"/>
    <mergeCell ref="G89:G90"/>
    <mergeCell ref="H89:H90"/>
    <mergeCell ref="A95:E95"/>
    <mergeCell ref="A96:E96"/>
    <mergeCell ref="A99:E99"/>
    <mergeCell ref="A85:I85"/>
    <mergeCell ref="A106:E106"/>
    <mergeCell ref="A87:H88"/>
    <mergeCell ref="I88:J88"/>
    <mergeCell ref="A78:E78"/>
    <mergeCell ref="A79:E79"/>
    <mergeCell ref="G68:I68"/>
    <mergeCell ref="F58:G58"/>
    <mergeCell ref="A61:J61"/>
    <mergeCell ref="A60:J60"/>
    <mergeCell ref="A82:E82"/>
    <mergeCell ref="A59:K59"/>
    <mergeCell ref="A84:E84"/>
    <mergeCell ref="A72:E73"/>
    <mergeCell ref="G62:I62"/>
    <mergeCell ref="A69:M69"/>
    <mergeCell ref="A81:E81"/>
    <mergeCell ref="A83:E83"/>
    <mergeCell ref="E64:F64"/>
    <mergeCell ref="B68:D68"/>
    <mergeCell ref="H72:H73"/>
    <mergeCell ref="G72:G73"/>
    <mergeCell ref="F72:F73"/>
    <mergeCell ref="J72:J73"/>
    <mergeCell ref="I72:I73"/>
    <mergeCell ref="B66:D66"/>
    <mergeCell ref="E66:F66"/>
    <mergeCell ref="B67:D67"/>
    <mergeCell ref="A108:H108"/>
    <mergeCell ref="A101:E101"/>
    <mergeCell ref="A102:E102"/>
    <mergeCell ref="A103:E103"/>
    <mergeCell ref="A104:E104"/>
    <mergeCell ref="A105:E105"/>
    <mergeCell ref="A92:E92"/>
    <mergeCell ref="U109:V109"/>
    <mergeCell ref="I109:J109"/>
    <mergeCell ref="I108:J108"/>
    <mergeCell ref="A100:E100"/>
    <mergeCell ref="A93:E93"/>
    <mergeCell ref="A94:E94"/>
    <mergeCell ref="A97:E97"/>
    <mergeCell ref="A98:E98"/>
    <mergeCell ref="A107:E107"/>
    <mergeCell ref="W88:X88"/>
    <mergeCell ref="W89:W90"/>
    <mergeCell ref="X89:X90"/>
    <mergeCell ref="W108:X108"/>
    <mergeCell ref="W109:X109"/>
    <mergeCell ref="S88:T88"/>
    <mergeCell ref="S89:S90"/>
    <mergeCell ref="T89:T90"/>
    <mergeCell ref="S108:T108"/>
    <mergeCell ref="S109:T109"/>
    <mergeCell ref="U89:U90"/>
    <mergeCell ref="V89:V90"/>
    <mergeCell ref="U108:V108"/>
    <mergeCell ref="U88:V88"/>
    <mergeCell ref="O89:O90"/>
    <mergeCell ref="P89:P90"/>
    <mergeCell ref="O109:P109"/>
    <mergeCell ref="Q88:R88"/>
    <mergeCell ref="Q89:Q90"/>
    <mergeCell ref="R89:R90"/>
    <mergeCell ref="Q108:R108"/>
    <mergeCell ref="Q109:R109"/>
    <mergeCell ref="K88:L88"/>
    <mergeCell ref="K89:K90"/>
    <mergeCell ref="L89:L90"/>
    <mergeCell ref="K108:L108"/>
    <mergeCell ref="K109:L109"/>
    <mergeCell ref="M88:N88"/>
    <mergeCell ref="M89:M90"/>
    <mergeCell ref="N89:N90"/>
    <mergeCell ref="M108:N108"/>
    <mergeCell ref="M109:N109"/>
    <mergeCell ref="O108:P108"/>
    <mergeCell ref="O88:P88"/>
    <mergeCell ref="E62:F62"/>
    <mergeCell ref="B62:D62"/>
    <mergeCell ref="E33:F33"/>
    <mergeCell ref="E34:F34"/>
    <mergeCell ref="B55:J55"/>
    <mergeCell ref="I54:J54"/>
    <mergeCell ref="I30:J30"/>
    <mergeCell ref="I31:J31"/>
    <mergeCell ref="I32:J32"/>
    <mergeCell ref="I33:J33"/>
    <mergeCell ref="I34:J34"/>
    <mergeCell ref="G30:H30"/>
    <mergeCell ref="G31:H31"/>
    <mergeCell ref="G32:H32"/>
    <mergeCell ref="G33:H33"/>
    <mergeCell ref="G34:H34"/>
    <mergeCell ref="B38:H38"/>
    <mergeCell ref="B53:H53"/>
    <mergeCell ref="A57:I57"/>
    <mergeCell ref="B58:E58"/>
    <mergeCell ref="J45:K45"/>
    <mergeCell ref="J47:K47"/>
    <mergeCell ref="B52:H52"/>
    <mergeCell ref="I52:J52"/>
    <mergeCell ref="A1:K1"/>
    <mergeCell ref="A18:J18"/>
    <mergeCell ref="B19:J19"/>
    <mergeCell ref="J6:K6"/>
    <mergeCell ref="B6:I6"/>
    <mergeCell ref="J7:K7"/>
    <mergeCell ref="B7:I7"/>
    <mergeCell ref="G29:H29"/>
    <mergeCell ref="E29:F29"/>
    <mergeCell ref="A29:B29"/>
    <mergeCell ref="B20:J20"/>
    <mergeCell ref="B21:J21"/>
    <mergeCell ref="A22:J22"/>
    <mergeCell ref="B15:J15"/>
    <mergeCell ref="B14:J14"/>
    <mergeCell ref="B16:J16"/>
    <mergeCell ref="A3:C4"/>
    <mergeCell ref="D3:K3"/>
    <mergeCell ref="D4:K4"/>
    <mergeCell ref="J8:K8"/>
    <mergeCell ref="J9:K9"/>
    <mergeCell ref="J10:K10"/>
    <mergeCell ref="A26:M26"/>
    <mergeCell ref="J11:K11"/>
    <mergeCell ref="H25:J25"/>
    <mergeCell ref="B28:J28"/>
    <mergeCell ref="B49:J49"/>
    <mergeCell ref="A27:J27"/>
    <mergeCell ref="I29:J29"/>
    <mergeCell ref="A36:J36"/>
    <mergeCell ref="B43:I43"/>
    <mergeCell ref="B44:J44"/>
    <mergeCell ref="A30:B30"/>
    <mergeCell ref="A31:B31"/>
    <mergeCell ref="A32:B32"/>
    <mergeCell ref="A33:B33"/>
    <mergeCell ref="A34:B34"/>
    <mergeCell ref="B37:H37"/>
    <mergeCell ref="I37:J37"/>
    <mergeCell ref="I38:J38"/>
    <mergeCell ref="B40:G40"/>
    <mergeCell ref="B41:G41"/>
    <mergeCell ref="H40:I40"/>
    <mergeCell ref="H41:I41"/>
    <mergeCell ref="E30:F30"/>
    <mergeCell ref="E31:F31"/>
    <mergeCell ref="E32:F32"/>
    <mergeCell ref="I53:J53"/>
    <mergeCell ref="B46:F46"/>
    <mergeCell ref="M13:P22"/>
    <mergeCell ref="A13:J13"/>
    <mergeCell ref="B45:H45"/>
    <mergeCell ref="B47:H47"/>
    <mergeCell ref="B122:D122"/>
    <mergeCell ref="G116:G117"/>
    <mergeCell ref="K50:K51"/>
    <mergeCell ref="B51:I51"/>
    <mergeCell ref="B39:J39"/>
    <mergeCell ref="B42:I42"/>
    <mergeCell ref="B50:I50"/>
    <mergeCell ref="A109:H109"/>
    <mergeCell ref="E115:F115"/>
    <mergeCell ref="E68:F68"/>
    <mergeCell ref="G64:I64"/>
    <mergeCell ref="G65:I65"/>
    <mergeCell ref="E65:F65"/>
    <mergeCell ref="A91:E91"/>
    <mergeCell ref="A76:E76"/>
    <mergeCell ref="A80:E80"/>
    <mergeCell ref="K112:L114"/>
    <mergeCell ref="A24:J24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M53"/>
  <sheetViews>
    <sheetView showGridLines="0" topLeftCell="A32" zoomScale="80" zoomScaleNormal="80" workbookViewId="0">
      <selection activeCell="C13" sqref="C13"/>
    </sheetView>
  </sheetViews>
  <sheetFormatPr defaultColWidth="7.6640625" defaultRowHeight="14.5"/>
  <cols>
    <col min="1" max="1" width="56.9140625" style="153" customWidth="1"/>
    <col min="2" max="2" width="15.33203125" style="153" customWidth="1"/>
    <col min="3" max="3" width="11.4140625" style="153" customWidth="1"/>
    <col min="4" max="4" width="11.58203125" style="153" customWidth="1"/>
    <col min="5" max="5" width="11.5" style="153" bestFit="1" customWidth="1"/>
    <col min="6" max="6" width="11.9140625" style="153" customWidth="1"/>
    <col min="7" max="7" width="12.08203125" style="153" customWidth="1"/>
    <col min="8" max="8" width="11.6640625" style="153" customWidth="1"/>
    <col min="9" max="9" width="13.58203125" style="153" customWidth="1"/>
    <col min="10" max="10" width="7.6640625" style="153"/>
    <col min="11" max="11" width="12" style="153" customWidth="1"/>
    <col min="12" max="12" width="13.9140625" style="153" customWidth="1"/>
    <col min="13" max="13" width="11.58203125" style="153" customWidth="1"/>
    <col min="14" max="16384" width="7.6640625" style="153"/>
  </cols>
  <sheetData>
    <row r="1" spans="1:13" ht="40.25" customHeight="1" thickBot="1">
      <c r="A1" s="614" t="s">
        <v>194</v>
      </c>
      <c r="B1" s="615"/>
      <c r="C1" s="615"/>
      <c r="D1" s="615"/>
      <c r="E1" s="616"/>
    </row>
    <row r="2" spans="1:13" ht="24" customHeight="1" thickBot="1">
      <c r="A2" s="617" t="s">
        <v>193</v>
      </c>
      <c r="B2" s="618"/>
      <c r="C2" s="619"/>
      <c r="D2" s="619"/>
      <c r="E2" s="619"/>
    </row>
    <row r="3" spans="1:13" ht="27.65" customHeight="1" thickBot="1">
      <c r="A3" s="620" t="s">
        <v>114</v>
      </c>
      <c r="B3" s="622" t="s">
        <v>116</v>
      </c>
      <c r="C3" s="623" t="s">
        <v>125</v>
      </c>
      <c r="D3" s="409" t="s">
        <v>326</v>
      </c>
      <c r="E3" s="593"/>
      <c r="F3" s="427" t="s">
        <v>327</v>
      </c>
      <c r="G3" s="428"/>
      <c r="H3" s="427" t="s">
        <v>328</v>
      </c>
      <c r="I3" s="428"/>
      <c r="J3" s="427" t="s">
        <v>329</v>
      </c>
      <c r="K3" s="428"/>
      <c r="L3" s="427" t="s">
        <v>330</v>
      </c>
      <c r="M3" s="428"/>
    </row>
    <row r="4" spans="1:13" ht="48" customHeight="1" thickBot="1">
      <c r="A4" s="621"/>
      <c r="B4" s="622"/>
      <c r="C4" s="624"/>
      <c r="D4" s="208" t="s">
        <v>126</v>
      </c>
      <c r="E4" s="208" t="s">
        <v>117</v>
      </c>
      <c r="F4" s="208" t="s">
        <v>126</v>
      </c>
      <c r="G4" s="208" t="s">
        <v>117</v>
      </c>
      <c r="H4" s="208" t="s">
        <v>126</v>
      </c>
      <c r="I4" s="208" t="s">
        <v>117</v>
      </c>
      <c r="J4" s="208" t="s">
        <v>126</v>
      </c>
      <c r="K4" s="208" t="s">
        <v>117</v>
      </c>
      <c r="L4" s="208" t="s">
        <v>126</v>
      </c>
      <c r="M4" s="208" t="s">
        <v>117</v>
      </c>
    </row>
    <row r="5" spans="1:13" s="198" customFormat="1" ht="16" thickBot="1">
      <c r="A5" s="154" t="s">
        <v>219</v>
      </c>
      <c r="B5" s="155" t="s">
        <v>222</v>
      </c>
      <c r="C5" s="308">
        <v>1.49</v>
      </c>
      <c r="D5" s="337">
        <v>0</v>
      </c>
      <c r="E5" s="309">
        <f>C5*D5</f>
        <v>0</v>
      </c>
      <c r="F5" s="331">
        <v>0</v>
      </c>
      <c r="G5" s="309">
        <f>F5*C5</f>
        <v>0</v>
      </c>
      <c r="H5" s="331">
        <v>0</v>
      </c>
      <c r="I5" s="309">
        <f>H5*C5</f>
        <v>0</v>
      </c>
      <c r="J5" s="360">
        <v>0</v>
      </c>
      <c r="K5" s="309">
        <f>J5*C5</f>
        <v>0</v>
      </c>
      <c r="L5" s="337">
        <v>0</v>
      </c>
      <c r="M5" s="309">
        <f>L5*C5</f>
        <v>0</v>
      </c>
    </row>
    <row r="6" spans="1:13" s="198" customFormat="1" ht="16" thickBot="1">
      <c r="A6" s="154" t="s">
        <v>220</v>
      </c>
      <c r="B6" s="155" t="s">
        <v>223</v>
      </c>
      <c r="C6" s="308">
        <v>15.66</v>
      </c>
      <c r="D6" s="337">
        <v>120</v>
      </c>
      <c r="E6" s="309">
        <f t="shared" ref="E6:E7" si="0">C6*D6</f>
        <v>1879.2</v>
      </c>
      <c r="F6" s="331">
        <v>0</v>
      </c>
      <c r="G6" s="309">
        <f t="shared" ref="G6:G33" si="1">F6*C6</f>
        <v>0</v>
      </c>
      <c r="H6" s="331">
        <v>0</v>
      </c>
      <c r="I6" s="309">
        <f t="shared" ref="I6:I33" si="2">H6*C6</f>
        <v>0</v>
      </c>
      <c r="J6" s="358">
        <v>0</v>
      </c>
      <c r="K6" s="309">
        <f t="shared" ref="K6:K33" si="3">J6*C6</f>
        <v>0</v>
      </c>
      <c r="L6" s="337">
        <v>120</v>
      </c>
      <c r="M6" s="309">
        <f t="shared" ref="M6:M33" si="4">L6*C6</f>
        <v>1879.2</v>
      </c>
    </row>
    <row r="7" spans="1:13" s="198" customFormat="1" ht="16" thickBot="1">
      <c r="A7" s="154" t="s">
        <v>221</v>
      </c>
      <c r="B7" s="160" t="s">
        <v>222</v>
      </c>
      <c r="C7" s="308">
        <v>2.62</v>
      </c>
      <c r="D7" s="337">
        <v>0</v>
      </c>
      <c r="E7" s="309">
        <f t="shared" si="0"/>
        <v>0</v>
      </c>
      <c r="F7" s="331">
        <v>0</v>
      </c>
      <c r="G7" s="309">
        <f t="shared" si="1"/>
        <v>0</v>
      </c>
      <c r="H7" s="331">
        <v>0</v>
      </c>
      <c r="I7" s="309">
        <f t="shared" si="2"/>
        <v>0</v>
      </c>
      <c r="J7" s="358">
        <v>0</v>
      </c>
      <c r="K7" s="309">
        <f t="shared" si="3"/>
        <v>0</v>
      </c>
      <c r="L7" s="337">
        <v>0</v>
      </c>
      <c r="M7" s="309">
        <f t="shared" si="4"/>
        <v>0</v>
      </c>
    </row>
    <row r="8" spans="1:13" ht="35" customHeight="1" thickBot="1">
      <c r="A8" s="159" t="s">
        <v>149</v>
      </c>
      <c r="B8" s="160" t="s">
        <v>127</v>
      </c>
      <c r="C8" s="308">
        <v>4.5999999999999996</v>
      </c>
      <c r="D8" s="339">
        <v>25</v>
      </c>
      <c r="E8" s="309">
        <f t="shared" ref="E8:E33" si="5">C8*D8</f>
        <v>114.99999999999999</v>
      </c>
      <c r="F8" s="333">
        <v>100</v>
      </c>
      <c r="G8" s="309">
        <f t="shared" si="1"/>
        <v>459.99999999999994</v>
      </c>
      <c r="H8" s="333">
        <v>35</v>
      </c>
      <c r="I8" s="309">
        <f t="shared" si="2"/>
        <v>161</v>
      </c>
      <c r="J8" s="358">
        <v>20</v>
      </c>
      <c r="K8" s="309">
        <f t="shared" si="3"/>
        <v>92</v>
      </c>
      <c r="L8" s="339">
        <v>50</v>
      </c>
      <c r="M8" s="309">
        <f t="shared" si="4"/>
        <v>229.99999999999997</v>
      </c>
    </row>
    <row r="9" spans="1:13" ht="35" customHeight="1" thickBot="1">
      <c r="A9" s="154" t="s">
        <v>128</v>
      </c>
      <c r="B9" s="155" t="s">
        <v>118</v>
      </c>
      <c r="C9" s="308">
        <v>15.22</v>
      </c>
      <c r="D9" s="339">
        <v>3</v>
      </c>
      <c r="E9" s="310">
        <f t="shared" si="5"/>
        <v>45.660000000000004</v>
      </c>
      <c r="F9" s="333">
        <v>12</v>
      </c>
      <c r="G9" s="309">
        <f t="shared" si="1"/>
        <v>182.64000000000001</v>
      </c>
      <c r="H9" s="333">
        <v>1</v>
      </c>
      <c r="I9" s="309">
        <f t="shared" si="2"/>
        <v>15.22</v>
      </c>
      <c r="J9" s="359">
        <v>1</v>
      </c>
      <c r="K9" s="309">
        <f t="shared" si="3"/>
        <v>15.22</v>
      </c>
      <c r="L9" s="339">
        <v>6</v>
      </c>
      <c r="M9" s="309">
        <f t="shared" si="4"/>
        <v>91.320000000000007</v>
      </c>
    </row>
    <row r="10" spans="1:13" s="198" customFormat="1" ht="35" customHeight="1" thickBot="1">
      <c r="A10" s="154" t="s">
        <v>224</v>
      </c>
      <c r="B10" s="155" t="s">
        <v>118</v>
      </c>
      <c r="C10" s="308">
        <v>9.17</v>
      </c>
      <c r="D10" s="337">
        <v>0</v>
      </c>
      <c r="E10" s="310">
        <f t="shared" si="5"/>
        <v>0</v>
      </c>
      <c r="F10" s="331">
        <v>0</v>
      </c>
      <c r="G10" s="309">
        <f t="shared" si="1"/>
        <v>0</v>
      </c>
      <c r="H10" s="331">
        <v>1</v>
      </c>
      <c r="I10" s="309">
        <f t="shared" si="2"/>
        <v>9.17</v>
      </c>
      <c r="J10" s="359">
        <v>1</v>
      </c>
      <c r="K10" s="309">
        <f t="shared" si="3"/>
        <v>9.17</v>
      </c>
      <c r="L10" s="337">
        <v>6</v>
      </c>
      <c r="M10" s="309">
        <f t="shared" si="4"/>
        <v>55.019999999999996</v>
      </c>
    </row>
    <row r="11" spans="1:13" s="198" customFormat="1" ht="35" customHeight="1" thickBot="1">
      <c r="A11" s="154" t="s">
        <v>225</v>
      </c>
      <c r="B11" s="155" t="s">
        <v>127</v>
      </c>
      <c r="C11" s="308">
        <v>35.1</v>
      </c>
      <c r="D11" s="337">
        <v>50</v>
      </c>
      <c r="E11" s="310">
        <f t="shared" si="5"/>
        <v>1755</v>
      </c>
      <c r="F11" s="331">
        <v>180</v>
      </c>
      <c r="G11" s="309">
        <f t="shared" si="1"/>
        <v>6318</v>
      </c>
      <c r="H11" s="331">
        <v>40</v>
      </c>
      <c r="I11" s="309">
        <f t="shared" si="2"/>
        <v>1404</v>
      </c>
      <c r="J11" s="359">
        <v>25</v>
      </c>
      <c r="K11" s="309">
        <f t="shared" si="3"/>
        <v>877.5</v>
      </c>
      <c r="L11" s="337">
        <v>68</v>
      </c>
      <c r="M11" s="309">
        <f t="shared" si="4"/>
        <v>2386.8000000000002</v>
      </c>
    </row>
    <row r="12" spans="1:13" ht="35" customHeight="1" thickBot="1">
      <c r="A12" s="154" t="s">
        <v>226</v>
      </c>
      <c r="B12" s="155" t="s">
        <v>127</v>
      </c>
      <c r="C12" s="308">
        <v>100.68</v>
      </c>
      <c r="D12" s="337">
        <v>3</v>
      </c>
      <c r="E12" s="310">
        <f t="shared" si="5"/>
        <v>302.04000000000002</v>
      </c>
      <c r="F12" s="331">
        <v>90</v>
      </c>
      <c r="G12" s="309">
        <f>F12*C12</f>
        <v>9061.2000000000007</v>
      </c>
      <c r="H12" s="331">
        <v>0</v>
      </c>
      <c r="I12" s="309">
        <f t="shared" si="2"/>
        <v>0</v>
      </c>
      <c r="J12" s="359">
        <v>1</v>
      </c>
      <c r="K12" s="309">
        <f t="shared" si="3"/>
        <v>100.68</v>
      </c>
      <c r="L12" s="337">
        <v>12</v>
      </c>
      <c r="M12" s="309">
        <f t="shared" si="4"/>
        <v>1208.1600000000001</v>
      </c>
    </row>
    <row r="13" spans="1:13" ht="35" customHeight="1" thickBot="1">
      <c r="A13" s="154" t="s">
        <v>150</v>
      </c>
      <c r="B13" s="155" t="s">
        <v>129</v>
      </c>
      <c r="C13" s="311">
        <v>7.03</v>
      </c>
      <c r="D13" s="337">
        <v>4</v>
      </c>
      <c r="E13" s="310">
        <f t="shared" si="5"/>
        <v>28.12</v>
      </c>
      <c r="F13" s="331">
        <v>15</v>
      </c>
      <c r="G13" s="309">
        <f t="shared" si="1"/>
        <v>105.45</v>
      </c>
      <c r="H13" s="331">
        <v>5</v>
      </c>
      <c r="I13" s="309">
        <f t="shared" si="2"/>
        <v>35.15</v>
      </c>
      <c r="J13" s="359">
        <v>3</v>
      </c>
      <c r="K13" s="309">
        <f t="shared" si="3"/>
        <v>21.09</v>
      </c>
      <c r="L13" s="337">
        <v>25</v>
      </c>
      <c r="M13" s="309">
        <f t="shared" si="4"/>
        <v>175.75</v>
      </c>
    </row>
    <row r="14" spans="1:13" ht="35" customHeight="1" thickBot="1">
      <c r="A14" s="154" t="s">
        <v>151</v>
      </c>
      <c r="B14" s="155" t="s">
        <v>129</v>
      </c>
      <c r="C14" s="311">
        <v>6.1</v>
      </c>
      <c r="D14" s="337">
        <v>4</v>
      </c>
      <c r="E14" s="310">
        <f t="shared" si="5"/>
        <v>24.4</v>
      </c>
      <c r="F14" s="331">
        <v>15</v>
      </c>
      <c r="G14" s="309">
        <f t="shared" si="1"/>
        <v>91.5</v>
      </c>
      <c r="H14" s="331">
        <v>0</v>
      </c>
      <c r="I14" s="309">
        <f t="shared" si="2"/>
        <v>0</v>
      </c>
      <c r="J14" s="359">
        <v>3</v>
      </c>
      <c r="K14" s="309">
        <f t="shared" si="3"/>
        <v>18.299999999999997</v>
      </c>
      <c r="L14" s="337">
        <v>25</v>
      </c>
      <c r="M14" s="309">
        <f t="shared" si="4"/>
        <v>152.5</v>
      </c>
    </row>
    <row r="15" spans="1:13" ht="35" customHeight="1" thickBot="1">
      <c r="A15" s="154" t="s">
        <v>152</v>
      </c>
      <c r="B15" s="155" t="s">
        <v>129</v>
      </c>
      <c r="C15" s="311">
        <v>6.4</v>
      </c>
      <c r="D15" s="351">
        <v>4</v>
      </c>
      <c r="E15" s="352">
        <f t="shared" si="5"/>
        <v>25.6</v>
      </c>
      <c r="F15" s="332">
        <v>20</v>
      </c>
      <c r="G15" s="353">
        <f t="shared" si="1"/>
        <v>128</v>
      </c>
      <c r="H15" s="332">
        <v>20</v>
      </c>
      <c r="I15" s="309">
        <f t="shared" si="2"/>
        <v>128</v>
      </c>
      <c r="J15" s="359">
        <v>3</v>
      </c>
      <c r="K15" s="309">
        <f t="shared" si="3"/>
        <v>19.200000000000003</v>
      </c>
      <c r="L15" s="337">
        <v>20</v>
      </c>
      <c r="M15" s="309">
        <f>L15*C15</f>
        <v>128</v>
      </c>
    </row>
    <row r="16" spans="1:13" ht="35" customHeight="1" thickBot="1">
      <c r="A16" s="154" t="s">
        <v>153</v>
      </c>
      <c r="B16" s="155" t="s">
        <v>129</v>
      </c>
      <c r="C16" s="311">
        <v>4.5199999999999996</v>
      </c>
      <c r="D16" s="343">
        <v>4</v>
      </c>
      <c r="E16" s="356">
        <f t="shared" si="5"/>
        <v>18.079999999999998</v>
      </c>
      <c r="F16" s="357">
        <v>0</v>
      </c>
      <c r="G16" s="356">
        <f t="shared" si="1"/>
        <v>0</v>
      </c>
      <c r="H16" s="357">
        <v>5</v>
      </c>
      <c r="I16" s="350">
        <f t="shared" si="2"/>
        <v>22.599999999999998</v>
      </c>
      <c r="J16" s="359">
        <v>3</v>
      </c>
      <c r="K16" s="309">
        <f t="shared" si="3"/>
        <v>13.559999999999999</v>
      </c>
      <c r="L16" s="337">
        <v>20</v>
      </c>
      <c r="M16" s="309">
        <f t="shared" si="4"/>
        <v>90.399999999999991</v>
      </c>
    </row>
    <row r="17" spans="1:13" ht="35" customHeight="1" thickBot="1">
      <c r="A17" s="154" t="s">
        <v>228</v>
      </c>
      <c r="B17" s="155" t="s">
        <v>127</v>
      </c>
      <c r="C17" s="311">
        <v>6.91</v>
      </c>
      <c r="D17" s="343">
        <v>5</v>
      </c>
      <c r="E17" s="356">
        <f t="shared" si="5"/>
        <v>34.549999999999997</v>
      </c>
      <c r="F17" s="357">
        <v>100</v>
      </c>
      <c r="G17" s="356">
        <f t="shared" si="1"/>
        <v>691</v>
      </c>
      <c r="H17" s="357">
        <v>20</v>
      </c>
      <c r="I17" s="350">
        <f t="shared" si="2"/>
        <v>138.19999999999999</v>
      </c>
      <c r="J17" s="359">
        <v>3</v>
      </c>
      <c r="K17" s="309">
        <f t="shared" si="3"/>
        <v>20.73</v>
      </c>
      <c r="L17" s="337">
        <v>100</v>
      </c>
      <c r="M17" s="309">
        <f t="shared" si="4"/>
        <v>691</v>
      </c>
    </row>
    <row r="18" spans="1:13" ht="35" customHeight="1" thickBot="1">
      <c r="A18" s="154" t="s">
        <v>227</v>
      </c>
      <c r="B18" s="156" t="s">
        <v>127</v>
      </c>
      <c r="C18" s="308">
        <v>3.33</v>
      </c>
      <c r="D18" s="354">
        <v>5</v>
      </c>
      <c r="E18" s="355">
        <f t="shared" si="5"/>
        <v>16.649999999999999</v>
      </c>
      <c r="F18" s="334">
        <v>50</v>
      </c>
      <c r="G18" s="309">
        <f t="shared" si="1"/>
        <v>166.5</v>
      </c>
      <c r="H18" s="334">
        <v>0</v>
      </c>
      <c r="I18" s="309">
        <f t="shared" si="2"/>
        <v>0</v>
      </c>
      <c r="J18" s="359">
        <v>8</v>
      </c>
      <c r="K18" s="309">
        <f>J18*C18</f>
        <v>26.64</v>
      </c>
      <c r="L18" s="339">
        <v>3</v>
      </c>
      <c r="M18" s="309">
        <f t="shared" si="4"/>
        <v>9.99</v>
      </c>
    </row>
    <row r="19" spans="1:13" ht="35" customHeight="1" thickBot="1">
      <c r="A19" s="157" t="s">
        <v>132</v>
      </c>
      <c r="B19" s="156" t="s">
        <v>133</v>
      </c>
      <c r="C19" s="308">
        <v>1.8</v>
      </c>
      <c r="D19" s="337">
        <v>5</v>
      </c>
      <c r="E19" s="312">
        <f t="shared" si="5"/>
        <v>9</v>
      </c>
      <c r="F19" s="331">
        <v>30</v>
      </c>
      <c r="G19" s="309">
        <f t="shared" si="1"/>
        <v>54</v>
      </c>
      <c r="H19" s="331">
        <v>2</v>
      </c>
      <c r="I19" s="309">
        <f t="shared" si="2"/>
        <v>3.6</v>
      </c>
      <c r="J19" s="359">
        <v>5</v>
      </c>
      <c r="K19" s="309">
        <f t="shared" si="3"/>
        <v>9</v>
      </c>
      <c r="L19" s="337">
        <v>15</v>
      </c>
      <c r="M19" s="309">
        <f t="shared" si="4"/>
        <v>27</v>
      </c>
    </row>
    <row r="20" spans="1:13" s="198" customFormat="1" ht="35" customHeight="1" thickBot="1">
      <c r="A20" s="157" t="s">
        <v>229</v>
      </c>
      <c r="B20" s="156" t="s">
        <v>237</v>
      </c>
      <c r="C20" s="308">
        <v>3.95</v>
      </c>
      <c r="D20" s="337">
        <v>2</v>
      </c>
      <c r="E20" s="310">
        <f t="shared" si="5"/>
        <v>7.9</v>
      </c>
      <c r="F20" s="331">
        <v>2</v>
      </c>
      <c r="G20" s="309">
        <f t="shared" si="1"/>
        <v>7.9</v>
      </c>
      <c r="H20" s="331">
        <v>2</v>
      </c>
      <c r="I20" s="309">
        <f t="shared" si="2"/>
        <v>7.9</v>
      </c>
      <c r="J20" s="359">
        <v>2</v>
      </c>
      <c r="K20" s="309">
        <f t="shared" si="3"/>
        <v>7.9</v>
      </c>
      <c r="L20" s="337">
        <v>2</v>
      </c>
      <c r="M20" s="309">
        <f t="shared" si="4"/>
        <v>7.9</v>
      </c>
    </row>
    <row r="21" spans="1:13" s="198" customFormat="1" ht="35" customHeight="1" thickBot="1">
      <c r="A21" s="157" t="s">
        <v>230</v>
      </c>
      <c r="B21" s="156" t="s">
        <v>235</v>
      </c>
      <c r="C21" s="308">
        <v>2.16</v>
      </c>
      <c r="D21" s="337">
        <v>4</v>
      </c>
      <c r="E21" s="310">
        <f t="shared" si="5"/>
        <v>8.64</v>
      </c>
      <c r="F21" s="331">
        <v>4</v>
      </c>
      <c r="G21" s="309">
        <f t="shared" si="1"/>
        <v>8.64</v>
      </c>
      <c r="H21" s="331">
        <v>4</v>
      </c>
      <c r="I21" s="309">
        <f t="shared" si="2"/>
        <v>8.64</v>
      </c>
      <c r="J21" s="359">
        <v>4</v>
      </c>
      <c r="K21" s="309">
        <f t="shared" si="3"/>
        <v>8.64</v>
      </c>
      <c r="L21" s="337">
        <v>4</v>
      </c>
      <c r="M21" s="309">
        <f>L21*C21</f>
        <v>8.64</v>
      </c>
    </row>
    <row r="22" spans="1:13" s="198" customFormat="1" ht="35" customHeight="1" thickBot="1">
      <c r="A22" s="157" t="s">
        <v>231</v>
      </c>
      <c r="B22" s="156" t="s">
        <v>237</v>
      </c>
      <c r="C22" s="308">
        <v>2.77</v>
      </c>
      <c r="D22" s="337">
        <v>2</v>
      </c>
      <c r="E22" s="310">
        <f t="shared" si="5"/>
        <v>5.54</v>
      </c>
      <c r="F22" s="331">
        <v>2</v>
      </c>
      <c r="G22" s="309">
        <f t="shared" si="1"/>
        <v>5.54</v>
      </c>
      <c r="H22" s="331">
        <v>2</v>
      </c>
      <c r="I22" s="309">
        <f t="shared" si="2"/>
        <v>5.54</v>
      </c>
      <c r="J22" s="359">
        <v>2</v>
      </c>
      <c r="K22" s="309">
        <f t="shared" si="3"/>
        <v>5.54</v>
      </c>
      <c r="L22" s="337">
        <v>2</v>
      </c>
      <c r="M22" s="309">
        <f t="shared" si="4"/>
        <v>5.54</v>
      </c>
    </row>
    <row r="23" spans="1:13" s="198" customFormat="1" ht="35" customHeight="1" thickBot="1">
      <c r="A23" s="157" t="s">
        <v>232</v>
      </c>
      <c r="B23" s="156" t="s">
        <v>236</v>
      </c>
      <c r="C23" s="308">
        <v>73.55</v>
      </c>
      <c r="D23" s="337">
        <v>0.5</v>
      </c>
      <c r="E23" s="310">
        <f t="shared" si="5"/>
        <v>36.774999999999999</v>
      </c>
      <c r="F23" s="331">
        <v>0</v>
      </c>
      <c r="G23" s="309">
        <f t="shared" si="1"/>
        <v>0</v>
      </c>
      <c r="H23" s="331">
        <v>0.5</v>
      </c>
      <c r="I23" s="309">
        <f t="shared" si="2"/>
        <v>36.774999999999999</v>
      </c>
      <c r="J23" s="359">
        <v>1</v>
      </c>
      <c r="K23" s="309">
        <f t="shared" si="3"/>
        <v>73.55</v>
      </c>
      <c r="L23" s="337">
        <v>0.5</v>
      </c>
      <c r="M23" s="309">
        <f t="shared" si="4"/>
        <v>36.774999999999999</v>
      </c>
    </row>
    <row r="24" spans="1:13" s="198" customFormat="1" ht="35" customHeight="1" thickBot="1">
      <c r="A24" s="157" t="s">
        <v>233</v>
      </c>
      <c r="B24" s="156" t="s">
        <v>235</v>
      </c>
      <c r="C24" s="308">
        <v>3.42</v>
      </c>
      <c r="D24" s="337">
        <v>2</v>
      </c>
      <c r="E24" s="310">
        <f t="shared" si="5"/>
        <v>6.84</v>
      </c>
      <c r="F24" s="331">
        <v>2</v>
      </c>
      <c r="G24" s="309">
        <f t="shared" si="1"/>
        <v>6.84</v>
      </c>
      <c r="H24" s="331">
        <v>2</v>
      </c>
      <c r="I24" s="309">
        <f t="shared" si="2"/>
        <v>6.84</v>
      </c>
      <c r="J24" s="359">
        <v>2</v>
      </c>
      <c r="K24" s="309">
        <f>J24*C24</f>
        <v>6.84</v>
      </c>
      <c r="L24" s="337">
        <v>4</v>
      </c>
      <c r="M24" s="309">
        <f t="shared" si="4"/>
        <v>13.68</v>
      </c>
    </row>
    <row r="25" spans="1:13" s="198" customFormat="1" ht="35" customHeight="1" thickBot="1">
      <c r="A25" s="157" t="s">
        <v>131</v>
      </c>
      <c r="B25" s="156" t="s">
        <v>118</v>
      </c>
      <c r="C25" s="308">
        <v>0.73</v>
      </c>
      <c r="D25" s="337">
        <v>30</v>
      </c>
      <c r="E25" s="310">
        <f>C25*D25</f>
        <v>21.9</v>
      </c>
      <c r="F25" s="331">
        <v>36</v>
      </c>
      <c r="G25" s="309">
        <f t="shared" si="1"/>
        <v>26.28</v>
      </c>
      <c r="H25" s="331">
        <v>4</v>
      </c>
      <c r="I25" s="309">
        <f t="shared" si="2"/>
        <v>2.92</v>
      </c>
      <c r="J25" s="359">
        <v>4</v>
      </c>
      <c r="K25" s="309">
        <f t="shared" si="3"/>
        <v>2.92</v>
      </c>
      <c r="L25" s="337">
        <v>15</v>
      </c>
      <c r="M25" s="309">
        <f t="shared" si="4"/>
        <v>10.95</v>
      </c>
    </row>
    <row r="26" spans="1:13" ht="35" customHeight="1" thickBot="1">
      <c r="A26" s="207" t="s">
        <v>234</v>
      </c>
      <c r="B26" s="156" t="s">
        <v>127</v>
      </c>
      <c r="C26" s="313">
        <v>1.91</v>
      </c>
      <c r="D26" s="337">
        <v>3</v>
      </c>
      <c r="E26" s="310">
        <f>C26*D26</f>
        <v>5.7299999999999995</v>
      </c>
      <c r="F26" s="331">
        <v>10</v>
      </c>
      <c r="G26" s="309">
        <f t="shared" si="1"/>
        <v>19.099999999999998</v>
      </c>
      <c r="H26" s="331">
        <v>1</v>
      </c>
      <c r="I26" s="309">
        <f t="shared" si="2"/>
        <v>1.91</v>
      </c>
      <c r="J26" s="359">
        <v>1</v>
      </c>
      <c r="K26" s="309">
        <f t="shared" si="3"/>
        <v>1.91</v>
      </c>
      <c r="L26" s="337">
        <v>1</v>
      </c>
      <c r="M26" s="309">
        <f t="shared" si="4"/>
        <v>1.91</v>
      </c>
    </row>
    <row r="27" spans="1:13" s="198" customFormat="1" ht="35" customHeight="1" thickBot="1">
      <c r="A27" s="207" t="s">
        <v>238</v>
      </c>
      <c r="B27" s="156" t="s">
        <v>235</v>
      </c>
      <c r="C27" s="313">
        <v>7.35</v>
      </c>
      <c r="D27" s="337">
        <v>0</v>
      </c>
      <c r="E27" s="310">
        <f>C27*D27</f>
        <v>0</v>
      </c>
      <c r="F27" s="331">
        <v>1</v>
      </c>
      <c r="G27" s="309">
        <f t="shared" si="1"/>
        <v>7.35</v>
      </c>
      <c r="H27" s="331">
        <v>1</v>
      </c>
      <c r="I27" s="309">
        <f t="shared" si="2"/>
        <v>7.35</v>
      </c>
      <c r="J27" s="359">
        <v>1</v>
      </c>
      <c r="K27" s="309">
        <f t="shared" si="3"/>
        <v>7.35</v>
      </c>
      <c r="L27" s="337">
        <v>1</v>
      </c>
      <c r="M27" s="309">
        <f>L27*C27</f>
        <v>7.35</v>
      </c>
    </row>
    <row r="28" spans="1:13" ht="35" customHeight="1" thickBot="1">
      <c r="A28" s="154" t="s">
        <v>130</v>
      </c>
      <c r="B28" s="156" t="s">
        <v>127</v>
      </c>
      <c r="C28" s="308">
        <v>3.98</v>
      </c>
      <c r="D28" s="337">
        <v>5</v>
      </c>
      <c r="E28" s="310">
        <f t="shared" si="5"/>
        <v>19.899999999999999</v>
      </c>
      <c r="F28" s="331">
        <v>2</v>
      </c>
      <c r="G28" s="309">
        <f t="shared" si="1"/>
        <v>7.96</v>
      </c>
      <c r="H28" s="331">
        <v>6</v>
      </c>
      <c r="I28" s="309">
        <f t="shared" si="2"/>
        <v>23.88</v>
      </c>
      <c r="J28" s="359">
        <v>3</v>
      </c>
      <c r="K28" s="309">
        <f t="shared" si="3"/>
        <v>11.94</v>
      </c>
      <c r="L28" s="337">
        <v>0</v>
      </c>
      <c r="M28" s="309">
        <f t="shared" si="4"/>
        <v>0</v>
      </c>
    </row>
    <row r="29" spans="1:13" ht="35" customHeight="1" thickBot="1">
      <c r="A29" s="154" t="s">
        <v>145</v>
      </c>
      <c r="B29" s="156" t="s">
        <v>127</v>
      </c>
      <c r="C29" s="308">
        <v>2.86</v>
      </c>
      <c r="D29" s="337">
        <v>10</v>
      </c>
      <c r="E29" s="310">
        <f t="shared" si="5"/>
        <v>28.599999999999998</v>
      </c>
      <c r="F29" s="331">
        <v>100</v>
      </c>
      <c r="G29" s="309">
        <f t="shared" si="1"/>
        <v>286</v>
      </c>
      <c r="H29" s="331">
        <v>10</v>
      </c>
      <c r="I29" s="309">
        <f t="shared" si="2"/>
        <v>28.599999999999998</v>
      </c>
      <c r="J29" s="359">
        <v>10</v>
      </c>
      <c r="K29" s="309">
        <f t="shared" si="3"/>
        <v>28.599999999999998</v>
      </c>
      <c r="L29" s="337">
        <v>0</v>
      </c>
      <c r="M29" s="309">
        <f t="shared" si="4"/>
        <v>0</v>
      </c>
    </row>
    <row r="30" spans="1:13" ht="35" customHeight="1" thickBot="1">
      <c r="A30" s="154" t="s">
        <v>239</v>
      </c>
      <c r="B30" s="156" t="s">
        <v>127</v>
      </c>
      <c r="C30" s="308">
        <v>15.33</v>
      </c>
      <c r="D30" s="337">
        <v>5</v>
      </c>
      <c r="E30" s="310">
        <f t="shared" si="5"/>
        <v>76.650000000000006</v>
      </c>
      <c r="F30" s="331">
        <v>1</v>
      </c>
      <c r="G30" s="309">
        <f t="shared" si="1"/>
        <v>15.33</v>
      </c>
      <c r="H30" s="331">
        <v>1</v>
      </c>
      <c r="I30" s="309">
        <f t="shared" si="2"/>
        <v>15.33</v>
      </c>
      <c r="J30" s="359">
        <v>1</v>
      </c>
      <c r="K30" s="309">
        <f t="shared" si="3"/>
        <v>15.33</v>
      </c>
      <c r="L30" s="337">
        <v>3</v>
      </c>
      <c r="M30" s="309">
        <f t="shared" si="4"/>
        <v>45.99</v>
      </c>
    </row>
    <row r="31" spans="1:13" ht="35" customHeight="1" thickBot="1">
      <c r="A31" s="157" t="s">
        <v>134</v>
      </c>
      <c r="B31" s="156" t="s">
        <v>118</v>
      </c>
      <c r="C31" s="308">
        <v>3.93</v>
      </c>
      <c r="D31" s="337">
        <v>3</v>
      </c>
      <c r="E31" s="310">
        <f t="shared" si="5"/>
        <v>11.790000000000001</v>
      </c>
      <c r="F31" s="331">
        <v>6</v>
      </c>
      <c r="G31" s="309">
        <f t="shared" si="1"/>
        <v>23.580000000000002</v>
      </c>
      <c r="H31" s="331">
        <v>4</v>
      </c>
      <c r="I31" s="309">
        <f t="shared" si="2"/>
        <v>15.72</v>
      </c>
      <c r="J31" s="359">
        <v>4</v>
      </c>
      <c r="K31" s="309">
        <f>J31*C31</f>
        <v>15.72</v>
      </c>
      <c r="L31" s="337">
        <v>8</v>
      </c>
      <c r="M31" s="309">
        <f t="shared" si="4"/>
        <v>31.44</v>
      </c>
    </row>
    <row r="32" spans="1:13" ht="35" customHeight="1" thickBot="1">
      <c r="A32" s="158" t="s">
        <v>135</v>
      </c>
      <c r="B32" s="156" t="s">
        <v>118</v>
      </c>
      <c r="C32" s="308">
        <v>5.39</v>
      </c>
      <c r="D32" s="337">
        <v>4</v>
      </c>
      <c r="E32" s="310">
        <f t="shared" si="5"/>
        <v>21.56</v>
      </c>
      <c r="F32" s="331">
        <v>2</v>
      </c>
      <c r="G32" s="309">
        <f t="shared" si="1"/>
        <v>10.78</v>
      </c>
      <c r="H32" s="331">
        <v>2</v>
      </c>
      <c r="I32" s="309">
        <f t="shared" si="2"/>
        <v>10.78</v>
      </c>
      <c r="J32" s="359">
        <v>4</v>
      </c>
      <c r="K32" s="309">
        <f t="shared" si="3"/>
        <v>21.56</v>
      </c>
      <c r="L32" s="337">
        <v>1</v>
      </c>
      <c r="M32" s="309">
        <f t="shared" si="4"/>
        <v>5.39</v>
      </c>
    </row>
    <row r="33" spans="1:13" ht="35" customHeight="1" thickBot="1">
      <c r="A33" s="161" t="s">
        <v>136</v>
      </c>
      <c r="B33" s="156" t="s">
        <v>137</v>
      </c>
      <c r="C33" s="314">
        <v>6.1</v>
      </c>
      <c r="D33" s="337">
        <v>1</v>
      </c>
      <c r="E33" s="315">
        <f t="shared" si="5"/>
        <v>6.1</v>
      </c>
      <c r="F33" s="331">
        <v>24</v>
      </c>
      <c r="G33" s="309">
        <f t="shared" si="1"/>
        <v>146.39999999999998</v>
      </c>
      <c r="H33" s="331">
        <v>10</v>
      </c>
      <c r="I33" s="309">
        <f t="shared" si="2"/>
        <v>61</v>
      </c>
      <c r="J33" s="359">
        <v>10</v>
      </c>
      <c r="K33" s="309">
        <f t="shared" si="3"/>
        <v>61</v>
      </c>
      <c r="L33" s="337">
        <v>10</v>
      </c>
      <c r="M33" s="309">
        <f t="shared" si="4"/>
        <v>61</v>
      </c>
    </row>
    <row r="34" spans="1:13" ht="21.15" customHeight="1" thickBot="1">
      <c r="A34" s="627" t="s">
        <v>217</v>
      </c>
      <c r="B34" s="628"/>
      <c r="C34" s="628"/>
      <c r="D34" s="629"/>
      <c r="E34" s="162">
        <f>SUM(E8:E33)</f>
        <v>2632.0250000000005</v>
      </c>
      <c r="F34" s="307"/>
      <c r="G34" s="204">
        <f>SUM(G8:G33)</f>
        <v>17829.990000000002</v>
      </c>
      <c r="H34" s="247"/>
      <c r="I34" s="204">
        <f>SUM(I5:I33)</f>
        <v>2150.125</v>
      </c>
      <c r="J34" s="247"/>
      <c r="K34" s="204">
        <f>SUM(K5:K33)</f>
        <v>1491.8899999999999</v>
      </c>
      <c r="L34" s="247"/>
      <c r="M34" s="204">
        <f>SUM(M5:M33)</f>
        <v>7361.704999999999</v>
      </c>
    </row>
    <row r="35" spans="1:13" s="181" customFormat="1" ht="21.15" customHeight="1">
      <c r="A35" s="625"/>
      <c r="B35" s="626"/>
      <c r="C35" s="626"/>
      <c r="D35" s="626"/>
      <c r="E35" s="316" t="s">
        <v>318</v>
      </c>
      <c r="F35" s="347"/>
      <c r="G35" s="348" t="s">
        <v>319</v>
      </c>
      <c r="H35" s="326"/>
      <c r="I35" s="348" t="s">
        <v>338</v>
      </c>
      <c r="J35" s="349"/>
      <c r="K35" s="348" t="s">
        <v>339</v>
      </c>
      <c r="L35" s="326"/>
      <c r="M35" s="348" t="s">
        <v>340</v>
      </c>
    </row>
    <row r="36" spans="1:13">
      <c r="A36" s="205" t="s">
        <v>250</v>
      </c>
      <c r="B36" s="630">
        <v>0.02</v>
      </c>
      <c r="C36" s="631"/>
      <c r="D36" s="632"/>
      <c r="E36" s="321">
        <f>E34*B36</f>
        <v>52.64050000000001</v>
      </c>
      <c r="F36" s="318"/>
      <c r="G36" s="321">
        <f>G34*B36</f>
        <v>356.59980000000002</v>
      </c>
      <c r="H36" s="319"/>
      <c r="I36" s="325">
        <f>B36*I34</f>
        <v>43.002499999999998</v>
      </c>
      <c r="J36" s="172"/>
      <c r="K36" s="325">
        <f>B36*K34</f>
        <v>29.837799999999998</v>
      </c>
      <c r="L36" s="172"/>
      <c r="M36" s="325">
        <f>M34*B36</f>
        <v>147.23409999999998</v>
      </c>
    </row>
    <row r="37" spans="1:13">
      <c r="A37" s="206" t="s">
        <v>251</v>
      </c>
      <c r="B37" s="630">
        <v>0.03</v>
      </c>
      <c r="C37" s="631"/>
      <c r="D37" s="632"/>
      <c r="E37" s="322">
        <f>(E36+E34)*B37</f>
        <v>80.539965000000009</v>
      </c>
      <c r="F37" s="319"/>
      <c r="G37" s="322">
        <f>B37*(G34+G36)</f>
        <v>545.59769400000005</v>
      </c>
      <c r="H37" s="319"/>
      <c r="I37" s="325">
        <f>B37*(I34+I36)</f>
        <v>65.793824999999998</v>
      </c>
      <c r="J37" s="172"/>
      <c r="K37" s="325">
        <f>B37*(K34+K36)</f>
        <v>45.651833999999994</v>
      </c>
      <c r="L37" s="172"/>
      <c r="M37" s="325">
        <f>B37*(M34+M36)</f>
        <v>225.26817299999996</v>
      </c>
    </row>
    <row r="38" spans="1:13">
      <c r="A38" s="206" t="s">
        <v>218</v>
      </c>
      <c r="B38" s="611">
        <f>B39+B40+B44</f>
        <v>9.2499999999999999E-2</v>
      </c>
      <c r="C38" s="612"/>
      <c r="D38" s="613"/>
      <c r="E38" s="323"/>
      <c r="F38" s="319"/>
      <c r="G38" s="323"/>
      <c r="H38" s="319"/>
      <c r="I38" s="323"/>
      <c r="J38" s="172"/>
      <c r="K38" s="323"/>
      <c r="L38" s="172"/>
      <c r="M38" s="323"/>
    </row>
    <row r="39" spans="1:13">
      <c r="A39" s="206" t="s">
        <v>99</v>
      </c>
      <c r="B39" s="611">
        <f>'Licitante - Mão de Obra'!F116</f>
        <v>1.6500000000000001E-2</v>
      </c>
      <c r="C39" s="612"/>
      <c r="D39" s="613"/>
      <c r="E39" s="322">
        <f>(E34+E36+E37)*B39</f>
        <v>45.625890172500007</v>
      </c>
      <c r="F39" s="319"/>
      <c r="G39" s="322">
        <f>B39*(G34+G36+G37)</f>
        <v>309.08109365100006</v>
      </c>
      <c r="H39" s="319"/>
      <c r="I39" s="325">
        <f>B39*(I34+I36+I37)</f>
        <v>37.272201862500005</v>
      </c>
      <c r="J39" s="172"/>
      <c r="K39" s="325">
        <f>B39*(K34+K36+K37)</f>
        <v>25.861763961000001</v>
      </c>
      <c r="L39" s="172"/>
      <c r="M39" s="325">
        <f>B39*(M34+M36+M37)</f>
        <v>127.61442000449999</v>
      </c>
    </row>
    <row r="40" spans="1:13">
      <c r="A40" s="206" t="s">
        <v>101</v>
      </c>
      <c r="B40" s="611">
        <f>'Licitante - Mão de Obra'!F117</f>
        <v>7.5999999999999998E-2</v>
      </c>
      <c r="C40" s="612"/>
      <c r="D40" s="613"/>
      <c r="E40" s="322">
        <f>(E34+E36+E37)*B40</f>
        <v>210.15561534000003</v>
      </c>
      <c r="F40" s="319"/>
      <c r="G40" s="322">
        <f>B40*(G34+G36+G37)</f>
        <v>1423.6462495440001</v>
      </c>
      <c r="H40" s="319"/>
      <c r="I40" s="325">
        <f>B40*(I34+I36+I37)</f>
        <v>171.67802070000002</v>
      </c>
      <c r="J40" s="172"/>
      <c r="K40" s="325">
        <f>B40*(K34+K36+K37)</f>
        <v>119.12085218399999</v>
      </c>
      <c r="L40" s="172"/>
      <c r="M40" s="325">
        <f>B40*(M34+M36+M37)</f>
        <v>587.79975274799995</v>
      </c>
    </row>
    <row r="41" spans="1:13" s="198" customFormat="1">
      <c r="A41" s="206" t="s">
        <v>313</v>
      </c>
      <c r="B41" s="215"/>
      <c r="C41" s="305">
        <f>'Licitante - Mão de Obra'!F118</f>
        <v>0.02</v>
      </c>
      <c r="D41" s="248"/>
      <c r="E41" s="322">
        <f>(E34+E36+E37)*C41</f>
        <v>55.304109300000007</v>
      </c>
      <c r="F41" s="320"/>
      <c r="G41" s="323"/>
      <c r="H41" s="320"/>
      <c r="I41" s="323"/>
      <c r="J41" s="320"/>
      <c r="K41" s="323"/>
      <c r="L41" s="320"/>
      <c r="M41" s="322">
        <f t="shared" ref="M41" si="6">(M34+M36+M37)*I42</f>
        <v>0</v>
      </c>
    </row>
    <row r="42" spans="1:13" s="198" customFormat="1">
      <c r="A42" s="206" t="s">
        <v>314</v>
      </c>
      <c r="B42" s="215"/>
      <c r="C42" s="306">
        <f>'Licitante - Mão de Obra'!F119</f>
        <v>2.5000000000000001E-2</v>
      </c>
      <c r="D42" s="248"/>
      <c r="E42" s="323"/>
      <c r="F42" s="319"/>
      <c r="G42" s="322">
        <f>(G34+G36+G37)*C42</f>
        <v>468.30468735000005</v>
      </c>
      <c r="H42" s="319"/>
      <c r="I42" s="323"/>
      <c r="J42" s="319"/>
      <c r="K42" s="323"/>
      <c r="L42" s="319"/>
      <c r="M42" s="323"/>
    </row>
    <row r="43" spans="1:13" s="198" customFormat="1">
      <c r="A43" s="206" t="s">
        <v>315</v>
      </c>
      <c r="B43" s="215"/>
      <c r="C43" s="306">
        <f>'Licitante - Mão de Obra'!F120</f>
        <v>0.05</v>
      </c>
      <c r="D43" s="248"/>
      <c r="E43" s="323"/>
      <c r="F43" s="247"/>
      <c r="G43" s="323"/>
      <c r="H43" s="319"/>
      <c r="I43" s="322">
        <f>(I34+I36+I37)*C43</f>
        <v>112.94606625000002</v>
      </c>
      <c r="J43" s="319"/>
      <c r="K43" s="323"/>
      <c r="L43" s="319"/>
      <c r="M43" s="323"/>
    </row>
    <row r="44" spans="1:13" s="198" customFormat="1">
      <c r="A44" s="206" t="s">
        <v>316</v>
      </c>
      <c r="B44" s="215"/>
      <c r="C44" s="304">
        <f>'Licitante - Mão de Obra'!F121</f>
        <v>0.04</v>
      </c>
      <c r="D44" s="248"/>
      <c r="E44" s="323"/>
      <c r="F44" s="247"/>
      <c r="G44" s="323"/>
      <c r="H44" s="247"/>
      <c r="I44" s="323"/>
      <c r="J44" s="319"/>
      <c r="K44" s="322">
        <f>(K34+K36+K37)*C44</f>
        <v>62.695185359999996</v>
      </c>
      <c r="L44" s="319"/>
      <c r="M44" s="323"/>
    </row>
    <row r="45" spans="1:13" s="198" customFormat="1">
      <c r="A45" s="206" t="s">
        <v>317</v>
      </c>
      <c r="B45" s="215"/>
      <c r="C45" s="306">
        <f>'Licitante - Mão de Obra'!F122</f>
        <v>0.03</v>
      </c>
      <c r="D45" s="248"/>
      <c r="E45" s="323"/>
      <c r="F45" s="247"/>
      <c r="G45" s="323"/>
      <c r="H45" s="247"/>
      <c r="I45" s="323"/>
      <c r="J45" s="247"/>
      <c r="K45" s="323"/>
      <c r="L45" s="247"/>
      <c r="M45" s="322">
        <f>(M34+M36+M37)*C45</f>
        <v>232.02621818999995</v>
      </c>
    </row>
    <row r="46" spans="1:13" ht="15" thickBot="1">
      <c r="A46" s="608" t="s">
        <v>285</v>
      </c>
      <c r="B46" s="609"/>
      <c r="C46" s="609"/>
      <c r="D46" s="610"/>
      <c r="E46" s="324">
        <f>SUM(E34:E45)</f>
        <v>3076.2910798125008</v>
      </c>
      <c r="G46" s="324">
        <f>SUM(G34:G45)</f>
        <v>20933.219524544998</v>
      </c>
      <c r="I46" s="324">
        <f>SUM(I34:I45)</f>
        <v>2580.8176138125004</v>
      </c>
      <c r="K46" s="324">
        <f>SUM(K34:K45)</f>
        <v>1775.0574355049998</v>
      </c>
      <c r="M46" s="324">
        <f>SUM(M34:M45)</f>
        <v>8681.6476639424982</v>
      </c>
    </row>
    <row r="47" spans="1:13" ht="15" thickBot="1"/>
    <row r="48" spans="1:13" ht="19" thickBot="1">
      <c r="A48" s="281" t="s">
        <v>292</v>
      </c>
      <c r="B48" s="282">
        <f>E46+G46+I46+K46+M46</f>
        <v>37047.033317617505</v>
      </c>
      <c r="C48" s="172"/>
      <c r="D48" s="172"/>
      <c r="E48" s="172"/>
      <c r="F48" s="172"/>
    </row>
    <row r="49" spans="1:6">
      <c r="A49" s="607"/>
      <c r="B49" s="607"/>
      <c r="C49" s="607"/>
      <c r="D49" s="249"/>
      <c r="E49" s="250"/>
      <c r="F49" s="172"/>
    </row>
    <row r="50" spans="1:6">
      <c r="A50" s="607"/>
      <c r="B50" s="607"/>
      <c r="C50" s="607"/>
      <c r="D50" s="218"/>
      <c r="E50" s="251"/>
      <c r="F50" s="172"/>
    </row>
    <row r="51" spans="1:6">
      <c r="A51" s="607"/>
      <c r="B51" s="607"/>
      <c r="C51" s="607"/>
      <c r="D51" s="218"/>
      <c r="E51" s="251"/>
      <c r="F51" s="317"/>
    </row>
    <row r="52" spans="1:6">
      <c r="A52" s="607"/>
      <c r="B52" s="607"/>
      <c r="C52" s="607"/>
      <c r="D52" s="218"/>
      <c r="E52" s="251"/>
      <c r="F52" s="172"/>
    </row>
    <row r="53" spans="1:6">
      <c r="A53" s="172"/>
      <c r="B53" s="172"/>
      <c r="C53" s="172"/>
      <c r="D53" s="172"/>
      <c r="E53" s="172"/>
      <c r="F53" s="172"/>
    </row>
  </sheetData>
  <mergeCells count="22">
    <mergeCell ref="F3:G3"/>
    <mergeCell ref="H3:I3"/>
    <mergeCell ref="J3:K3"/>
    <mergeCell ref="L3:M3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A49:C49"/>
    <mergeCell ref="A50:C50"/>
    <mergeCell ref="A51:C51"/>
    <mergeCell ref="A52:C52"/>
    <mergeCell ref="A46:D46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P146"/>
  <sheetViews>
    <sheetView showGridLines="0" tabSelected="1" zoomScaleNormal="100" workbookViewId="0">
      <selection activeCell="D2" sqref="D2:K2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7.582031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4.08203125" style="1" customWidth="1"/>
    <col min="14" max="14" width="14.9140625" style="1" customWidth="1"/>
    <col min="15" max="15" width="14.5" style="1" customWidth="1"/>
    <col min="16" max="16384" width="7.6640625" style="1"/>
  </cols>
  <sheetData>
    <row r="1" spans="1:15" ht="72.650000000000006" customHeight="1" thickBot="1">
      <c r="A1" s="704" t="s">
        <v>294</v>
      </c>
      <c r="B1" s="705"/>
      <c r="C1" s="705"/>
      <c r="D1" s="705"/>
      <c r="E1" s="705"/>
      <c r="F1" s="705"/>
      <c r="G1" s="705"/>
      <c r="H1" s="705"/>
      <c r="I1" s="705"/>
      <c r="J1" s="705"/>
      <c r="K1" s="706"/>
    </row>
    <row r="2" spans="1:15" ht="20" customHeight="1">
      <c r="A2" s="707" t="s">
        <v>2</v>
      </c>
      <c r="B2" s="708"/>
      <c r="C2" s="708"/>
      <c r="D2" s="709" t="s">
        <v>373</v>
      </c>
      <c r="E2" s="709"/>
      <c r="F2" s="709"/>
      <c r="G2" s="709"/>
      <c r="H2" s="709"/>
      <c r="I2" s="709"/>
      <c r="J2" s="709"/>
      <c r="K2" s="710"/>
    </row>
    <row r="3" spans="1:15" ht="20" customHeight="1">
      <c r="A3" s="711" t="s">
        <v>3</v>
      </c>
      <c r="B3" s="712"/>
      <c r="C3" s="712"/>
      <c r="D3" s="648" t="s">
        <v>372</v>
      </c>
      <c r="E3" s="648"/>
      <c r="F3" s="648"/>
      <c r="G3" s="648"/>
      <c r="H3" s="648"/>
      <c r="I3" s="648"/>
      <c r="J3" s="648"/>
      <c r="K3" s="713"/>
    </row>
    <row r="4" spans="1:15" ht="20" customHeight="1" thickBot="1">
      <c r="A4" s="714" t="s">
        <v>4</v>
      </c>
      <c r="B4" s="715"/>
      <c r="C4" s="715"/>
      <c r="D4" s="716"/>
      <c r="E4" s="717"/>
      <c r="F4" s="717"/>
      <c r="G4" s="31" t="s">
        <v>5</v>
      </c>
      <c r="H4" s="104"/>
      <c r="I4" s="718"/>
      <c r="J4" s="719"/>
      <c r="K4" s="720"/>
    </row>
    <row r="5" spans="1:15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15" ht="20" customHeight="1" thickBot="1">
      <c r="A6" s="494" t="s">
        <v>6</v>
      </c>
      <c r="B6" s="495"/>
      <c r="C6" s="496"/>
      <c r="D6" s="500" t="s">
        <v>1</v>
      </c>
      <c r="E6" s="501"/>
      <c r="F6" s="501"/>
      <c r="G6" s="501"/>
      <c r="H6" s="501"/>
      <c r="I6" s="501"/>
      <c r="J6" s="501"/>
      <c r="K6" s="502"/>
    </row>
    <row r="7" spans="1:15" ht="20" customHeight="1" thickBot="1">
      <c r="A7" s="497"/>
      <c r="B7" s="498"/>
      <c r="C7" s="499"/>
      <c r="D7" s="642" t="s">
        <v>258</v>
      </c>
      <c r="E7" s="643"/>
      <c r="F7" s="643"/>
      <c r="G7" s="643"/>
      <c r="H7" s="643"/>
      <c r="I7" s="643"/>
      <c r="J7" s="644"/>
      <c r="K7" s="266" t="s">
        <v>331</v>
      </c>
      <c r="L7" s="266" t="s">
        <v>332</v>
      </c>
      <c r="M7" s="266" t="s">
        <v>333</v>
      </c>
      <c r="N7" s="266" t="s">
        <v>334</v>
      </c>
      <c r="O7" s="266" t="s">
        <v>335</v>
      </c>
    </row>
    <row r="8" spans="1:15" ht="20" customHeight="1">
      <c r="A8" s="11" t="s">
        <v>7</v>
      </c>
      <c r="B8" s="481" t="s">
        <v>8</v>
      </c>
      <c r="C8" s="655"/>
      <c r="D8" s="655"/>
      <c r="E8" s="655"/>
      <c r="F8" s="655"/>
      <c r="G8" s="655"/>
      <c r="H8" s="655"/>
      <c r="I8" s="655"/>
      <c r="J8" s="656"/>
      <c r="K8" s="721">
        <f>'Licitante - Mão de Obra'!J6</f>
        <v>0</v>
      </c>
      <c r="L8" s="722"/>
      <c r="M8" s="722"/>
      <c r="N8" s="722"/>
      <c r="O8" s="722"/>
    </row>
    <row r="9" spans="1:15" ht="20" customHeight="1">
      <c r="A9" s="12" t="s">
        <v>7</v>
      </c>
      <c r="B9" s="422" t="s">
        <v>165</v>
      </c>
      <c r="C9" s="486"/>
      <c r="D9" s="486"/>
      <c r="E9" s="486"/>
      <c r="F9" s="486"/>
      <c r="G9" s="486"/>
      <c r="H9" s="486"/>
      <c r="I9" s="486"/>
      <c r="J9" s="420"/>
      <c r="K9" s="17" t="s">
        <v>300</v>
      </c>
      <c r="L9" s="17" t="s">
        <v>301</v>
      </c>
      <c r="M9" s="17" t="s">
        <v>302</v>
      </c>
      <c r="N9" s="17" t="s">
        <v>303</v>
      </c>
      <c r="O9" s="17" t="s">
        <v>304</v>
      </c>
    </row>
    <row r="10" spans="1:15" ht="20" customHeight="1">
      <c r="A10" s="12" t="s">
        <v>7</v>
      </c>
      <c r="B10" s="421" t="s">
        <v>9</v>
      </c>
      <c r="C10" s="421"/>
      <c r="D10" s="421"/>
      <c r="E10" s="421"/>
      <c r="F10" s="421"/>
      <c r="G10" s="421"/>
      <c r="H10" s="421"/>
      <c r="I10" s="421"/>
      <c r="J10" s="421"/>
      <c r="K10" s="252" t="str">
        <f>'Licitante - Mão de Obra'!L7</f>
        <v>SEACSP/Seth</v>
      </c>
      <c r="L10" s="252" t="str">
        <f>'Licitante - Mão de Obra'!L8</f>
        <v>SEACRP/SIEMACORP</v>
      </c>
      <c r="M10" s="252" t="str">
        <f>'Licitante - Mão de Obra'!L9</f>
        <v>SEACSP/SIEMACO</v>
      </c>
      <c r="N10" s="252" t="str">
        <f>'Licitante - Mão de Obra'!L10</f>
        <v>SEACSP/SIEMACO</v>
      </c>
      <c r="O10" s="252" t="str">
        <f>'Licitante - Mão de Obra'!L11</f>
        <v>SEACSP/Seth</v>
      </c>
    </row>
    <row r="11" spans="1:15" ht="20" customHeight="1">
      <c r="A11" s="12" t="s">
        <v>7</v>
      </c>
      <c r="B11" s="421" t="s">
        <v>10</v>
      </c>
      <c r="C11" s="421"/>
      <c r="D11" s="421"/>
      <c r="E11" s="421"/>
      <c r="F11" s="421"/>
      <c r="G11" s="421"/>
      <c r="H11" s="421"/>
      <c r="I11" s="421"/>
      <c r="J11" s="421"/>
      <c r="K11" s="254">
        <f>'Licitante - Mão de Obra'!M7</f>
        <v>2025</v>
      </c>
      <c r="L11" s="254">
        <f>'Licitante - Mão de Obra'!M8</f>
        <v>2024</v>
      </c>
      <c r="M11" s="254">
        <f>'Licitante - Mão de Obra'!M9</f>
        <v>2025</v>
      </c>
      <c r="N11" s="254">
        <f>'Licitante - Mão de Obra'!M10</f>
        <v>2025</v>
      </c>
      <c r="O11" s="254">
        <f>'Licitante - Mão de Obra'!M11</f>
        <v>2025</v>
      </c>
    </row>
    <row r="12" spans="1:15" ht="20" customHeight="1">
      <c r="A12" s="12" t="s">
        <v>7</v>
      </c>
      <c r="B12" s="657" t="s">
        <v>11</v>
      </c>
      <c r="C12" s="596"/>
      <c r="D12" s="596"/>
      <c r="E12" s="596"/>
      <c r="F12" s="596"/>
      <c r="G12" s="596"/>
      <c r="H12" s="596"/>
      <c r="I12" s="596"/>
      <c r="J12" s="658"/>
      <c r="K12" s="17">
        <v>36</v>
      </c>
      <c r="L12" s="17">
        <v>36</v>
      </c>
      <c r="M12" s="17">
        <v>36</v>
      </c>
      <c r="N12" s="17">
        <v>36</v>
      </c>
      <c r="O12" s="17">
        <v>36</v>
      </c>
    </row>
    <row r="13" spans="1:15" ht="20" customHeight="1">
      <c r="A13" s="12" t="s">
        <v>7</v>
      </c>
      <c r="B13" s="657" t="s">
        <v>12</v>
      </c>
      <c r="C13" s="596"/>
      <c r="D13" s="596"/>
      <c r="E13" s="596"/>
      <c r="F13" s="596"/>
      <c r="G13" s="596"/>
      <c r="H13" s="596"/>
      <c r="I13" s="596"/>
      <c r="J13" s="658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</row>
    <row r="14" spans="1:15" ht="20" customHeight="1">
      <c r="A14" s="12" t="s">
        <v>7</v>
      </c>
      <c r="B14" s="657" t="s">
        <v>14</v>
      </c>
      <c r="C14" s="596"/>
      <c r="D14" s="596"/>
      <c r="E14" s="596"/>
      <c r="F14" s="596"/>
      <c r="G14" s="596"/>
      <c r="H14" s="596"/>
      <c r="I14" s="596"/>
      <c r="J14" s="658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</row>
    <row r="15" spans="1:15" ht="20" customHeight="1" thickBot="1">
      <c r="A15" s="13" t="s">
        <v>7</v>
      </c>
      <c r="B15" s="697" t="s">
        <v>16</v>
      </c>
      <c r="C15" s="698"/>
      <c r="D15" s="698"/>
      <c r="E15" s="698"/>
      <c r="F15" s="698"/>
      <c r="G15" s="698"/>
      <c r="H15" s="698"/>
      <c r="I15" s="698"/>
      <c r="J15" s="699"/>
      <c r="K15" s="32">
        <v>1</v>
      </c>
      <c r="L15" s="32">
        <v>1</v>
      </c>
      <c r="M15" s="32">
        <v>1</v>
      </c>
      <c r="N15" s="32">
        <v>1</v>
      </c>
      <c r="O15" s="32">
        <v>1</v>
      </c>
    </row>
    <row r="16" spans="1:15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15" ht="20" customHeight="1" thickBot="1">
      <c r="A17" s="457" t="s">
        <v>17</v>
      </c>
      <c r="B17" s="458"/>
      <c r="C17" s="458"/>
      <c r="D17" s="458"/>
      <c r="E17" s="458"/>
      <c r="F17" s="458"/>
      <c r="G17" s="458"/>
      <c r="H17" s="458"/>
      <c r="I17" s="458"/>
      <c r="J17" s="458"/>
      <c r="K17" s="459"/>
    </row>
    <row r="18" spans="1:15" ht="20" customHeight="1">
      <c r="A18" s="16" t="s">
        <v>27</v>
      </c>
      <c r="B18" s="475" t="s">
        <v>12</v>
      </c>
      <c r="C18" s="475"/>
      <c r="D18" s="475"/>
      <c r="E18" s="475"/>
      <c r="F18" s="475"/>
      <c r="G18" s="475"/>
      <c r="H18" s="475"/>
      <c r="I18" s="475"/>
      <c r="J18" s="476"/>
      <c r="K18" s="257" t="s">
        <v>13</v>
      </c>
      <c r="L18" s="258" t="s">
        <v>13</v>
      </c>
      <c r="M18" s="258" t="s">
        <v>13</v>
      </c>
      <c r="N18" s="258" t="s">
        <v>13</v>
      </c>
      <c r="O18" s="258" t="s">
        <v>13</v>
      </c>
    </row>
    <row r="19" spans="1:15" ht="20" customHeight="1">
      <c r="A19" s="14" t="s">
        <v>37</v>
      </c>
      <c r="B19" s="486" t="s">
        <v>18</v>
      </c>
      <c r="C19" s="486"/>
      <c r="D19" s="486"/>
      <c r="E19" s="486"/>
      <c r="F19" s="486"/>
      <c r="G19" s="486"/>
      <c r="H19" s="486"/>
      <c r="I19" s="486"/>
      <c r="J19" s="420"/>
      <c r="K19" s="105" t="s">
        <v>19</v>
      </c>
      <c r="L19" s="105" t="s">
        <v>19</v>
      </c>
      <c r="M19" s="105" t="s">
        <v>19</v>
      </c>
      <c r="N19" s="105" t="s">
        <v>19</v>
      </c>
      <c r="O19" s="105" t="s">
        <v>19</v>
      </c>
    </row>
    <row r="20" spans="1:15" ht="20" customHeight="1">
      <c r="A20" s="14" t="s">
        <v>44</v>
      </c>
      <c r="B20" s="486" t="s">
        <v>20</v>
      </c>
      <c r="C20" s="486"/>
      <c r="D20" s="486"/>
      <c r="E20" s="486"/>
      <c r="F20" s="486"/>
      <c r="G20" s="486"/>
      <c r="H20" s="486"/>
      <c r="I20" s="486"/>
      <c r="J20" s="420"/>
      <c r="K20" s="106">
        <f>'Licitante - Mão de Obra'!K19</f>
        <v>1729.04</v>
      </c>
      <c r="L20" s="106">
        <f>'Licitante - Mão de Obra'!L19</f>
        <v>1590</v>
      </c>
      <c r="M20" s="106">
        <f>'Licitante - Mão de Obra'!K19</f>
        <v>1729.04</v>
      </c>
      <c r="N20" s="106">
        <f>'Licitante - Mão de Obra'!K19</f>
        <v>1729.04</v>
      </c>
      <c r="O20" s="106">
        <f>'Licitante - Mão de Obra'!K19</f>
        <v>1729.04</v>
      </c>
    </row>
    <row r="21" spans="1:15" ht="20" customHeight="1">
      <c r="A21" s="14" t="s">
        <v>30</v>
      </c>
      <c r="B21" s="486" t="s">
        <v>21</v>
      </c>
      <c r="C21" s="486"/>
      <c r="D21" s="486"/>
      <c r="E21" s="486"/>
      <c r="F21" s="486"/>
      <c r="G21" s="486"/>
      <c r="H21" s="486"/>
      <c r="I21" s="486"/>
      <c r="J21" s="420"/>
      <c r="K21" s="107">
        <f>'Licitante - Mão de Obra'!K16</f>
        <v>1518</v>
      </c>
      <c r="L21" s="107">
        <f>'Licitante - Mão de Obra'!K16</f>
        <v>1518</v>
      </c>
      <c r="M21" s="107">
        <f>'Licitante - Mão de Obra'!K16</f>
        <v>1518</v>
      </c>
      <c r="N21" s="107">
        <f>'Licitante - Mão de Obra'!K16</f>
        <v>1518</v>
      </c>
      <c r="O21" s="107">
        <f>'Licitante - Mão de Obra'!K16</f>
        <v>1518</v>
      </c>
    </row>
    <row r="22" spans="1:15" ht="20" customHeight="1">
      <c r="A22" s="14" t="s">
        <v>49</v>
      </c>
      <c r="B22" s="486" t="s">
        <v>22</v>
      </c>
      <c r="C22" s="486"/>
      <c r="D22" s="486"/>
      <c r="E22" s="486"/>
      <c r="F22" s="486"/>
      <c r="G22" s="486"/>
      <c r="H22" s="486"/>
      <c r="I22" s="486"/>
      <c r="J22" s="420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</row>
    <row r="23" spans="1:15" ht="20" customHeight="1" thickBot="1">
      <c r="A23" s="15" t="s">
        <v>51</v>
      </c>
      <c r="B23" s="747" t="s">
        <v>24</v>
      </c>
      <c r="C23" s="747"/>
      <c r="D23" s="747"/>
      <c r="E23" s="747"/>
      <c r="F23" s="747"/>
      <c r="G23" s="747"/>
      <c r="H23" s="747"/>
      <c r="I23" s="747"/>
      <c r="J23" s="579"/>
      <c r="K23" s="108" t="str">
        <f>'Licitante - Mão de Obra'!K15</f>
        <v>1 de janeiro</v>
      </c>
      <c r="L23" s="256" t="str">
        <f>'Licitante - Mão de Obra'!K15</f>
        <v>1 de janeiro</v>
      </c>
      <c r="M23" s="256" t="str">
        <f>'Licitante - Mão de Obra'!K15</f>
        <v>1 de janeiro</v>
      </c>
      <c r="N23" s="256" t="str">
        <f>'Licitante - Mão de Obra'!K15</f>
        <v>1 de janeiro</v>
      </c>
      <c r="O23" s="256" t="str">
        <f>'Licitante - Mão de Obra'!K15</f>
        <v>1 de janeiro</v>
      </c>
    </row>
    <row r="24" spans="1:15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</row>
    <row r="25" spans="1:15" ht="20" customHeight="1" thickBot="1">
      <c r="A25" s="457" t="s">
        <v>25</v>
      </c>
      <c r="B25" s="458"/>
      <c r="C25" s="458"/>
      <c r="D25" s="458"/>
      <c r="E25" s="458"/>
      <c r="F25" s="458"/>
      <c r="G25" s="458"/>
      <c r="H25" s="458"/>
      <c r="I25" s="458"/>
      <c r="J25" s="462"/>
      <c r="K25" s="33" t="s">
        <v>26</v>
      </c>
      <c r="L25" s="33" t="s">
        <v>26</v>
      </c>
      <c r="M25" s="33" t="s">
        <v>26</v>
      </c>
      <c r="N25" s="33" t="s">
        <v>26</v>
      </c>
      <c r="O25" s="33" t="s">
        <v>26</v>
      </c>
    </row>
    <row r="26" spans="1:15" ht="20" customHeight="1">
      <c r="A26" s="16" t="s">
        <v>27</v>
      </c>
      <c r="B26" s="475" t="s">
        <v>177</v>
      </c>
      <c r="C26" s="475"/>
      <c r="D26" s="475"/>
      <c r="E26" s="475"/>
      <c r="F26" s="475"/>
      <c r="G26" s="475"/>
      <c r="H26" s="475"/>
      <c r="I26" s="475"/>
      <c r="J26" s="476"/>
      <c r="K26" s="49">
        <f t="shared" ref="K26:O26" si="0">K20</f>
        <v>1729.04</v>
      </c>
      <c r="L26" s="49">
        <f t="shared" si="0"/>
        <v>1590</v>
      </c>
      <c r="M26" s="49">
        <f t="shared" si="0"/>
        <v>1729.04</v>
      </c>
      <c r="N26" s="49">
        <f t="shared" si="0"/>
        <v>1729.04</v>
      </c>
      <c r="O26" s="49">
        <f t="shared" si="0"/>
        <v>1729.04</v>
      </c>
    </row>
    <row r="27" spans="1:15" ht="20" customHeight="1">
      <c r="A27" s="14" t="s">
        <v>37</v>
      </c>
      <c r="B27" s="700" t="s">
        <v>29</v>
      </c>
      <c r="C27" s="700"/>
      <c r="D27" s="700"/>
      <c r="E27" s="700"/>
      <c r="F27" s="700"/>
      <c r="G27" s="700"/>
      <c r="H27" s="700"/>
      <c r="I27" s="700"/>
      <c r="J27" s="701"/>
      <c r="K27" s="86">
        <f>'Licitante - Mão de Obra'!K20</f>
        <v>0</v>
      </c>
      <c r="L27" s="86">
        <f>'Licitante - Mão de Obra'!L20</f>
        <v>0</v>
      </c>
      <c r="M27" s="86">
        <f>'Licitante - Mão de Obra'!M20</f>
        <v>0</v>
      </c>
      <c r="N27" s="86">
        <f>'Licitante - Mão de Obra'!N20</f>
        <v>0</v>
      </c>
      <c r="O27" s="86">
        <f>'Licitante - Mão de Obra'!O20</f>
        <v>0</v>
      </c>
    </row>
    <row r="28" spans="1:15" ht="20" customHeight="1" thickBot="1">
      <c r="A28" s="22" t="s">
        <v>44</v>
      </c>
      <c r="B28" s="702" t="str">
        <f>'Licitante - Mão de Obra'!B21</f>
        <v>Outros (especificar)</v>
      </c>
      <c r="C28" s="702"/>
      <c r="D28" s="702"/>
      <c r="E28" s="702"/>
      <c r="F28" s="702"/>
      <c r="G28" s="702"/>
      <c r="H28" s="702"/>
      <c r="I28" s="702"/>
      <c r="J28" s="703"/>
      <c r="K28" s="87">
        <f>'Licitante - Mão de Obra'!K21</f>
        <v>0</v>
      </c>
      <c r="L28" s="87">
        <f>'Licitante - Mão de Obra'!L21</f>
        <v>0</v>
      </c>
      <c r="M28" s="87">
        <f>'Licitante - Mão de Obra'!M21</f>
        <v>0</v>
      </c>
      <c r="N28" s="87">
        <f>'Licitante - Mão de Obra'!N21</f>
        <v>0</v>
      </c>
      <c r="O28" s="87">
        <f>'Licitante - Mão de Obra'!O21</f>
        <v>0</v>
      </c>
    </row>
    <row r="29" spans="1:15" ht="20" customHeight="1" thickBot="1">
      <c r="A29" s="489" t="s">
        <v>32</v>
      </c>
      <c r="B29" s="490"/>
      <c r="C29" s="490"/>
      <c r="D29" s="490"/>
      <c r="E29" s="490"/>
      <c r="F29" s="490"/>
      <c r="G29" s="490"/>
      <c r="H29" s="490"/>
      <c r="I29" s="490"/>
      <c r="J29" s="491"/>
      <c r="K29" s="50">
        <f t="shared" ref="K29:O29" si="1">SUM(K26:K28)</f>
        <v>1729.04</v>
      </c>
      <c r="L29" s="50">
        <f t="shared" si="1"/>
        <v>1590</v>
      </c>
      <c r="M29" s="50">
        <f t="shared" si="1"/>
        <v>1729.04</v>
      </c>
      <c r="N29" s="50">
        <f t="shared" si="1"/>
        <v>1729.04</v>
      </c>
      <c r="O29" s="50">
        <f t="shared" si="1"/>
        <v>1729.04</v>
      </c>
    </row>
    <row r="30" spans="1:15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15" ht="20" customHeight="1" thickBot="1">
      <c r="A31" s="457" t="s">
        <v>33</v>
      </c>
      <c r="B31" s="458"/>
      <c r="C31" s="458"/>
      <c r="D31" s="458"/>
      <c r="E31" s="458"/>
      <c r="F31" s="458"/>
      <c r="G31" s="458"/>
      <c r="H31" s="458"/>
      <c r="I31" s="458"/>
      <c r="J31" s="458"/>
      <c r="K31" s="459"/>
    </row>
    <row r="32" spans="1:15" ht="20" customHeight="1">
      <c r="A32" s="645" t="s">
        <v>34</v>
      </c>
      <c r="B32" s="646"/>
      <c r="C32" s="646"/>
      <c r="D32" s="646"/>
      <c r="E32" s="646"/>
      <c r="F32" s="646"/>
      <c r="G32" s="646"/>
      <c r="H32" s="646"/>
      <c r="I32" s="647"/>
      <c r="J32" s="34" t="s">
        <v>35</v>
      </c>
      <c r="K32" s="34" t="s">
        <v>26</v>
      </c>
      <c r="L32" s="34" t="s">
        <v>26</v>
      </c>
      <c r="M32" s="34" t="s">
        <v>26</v>
      </c>
      <c r="N32" s="34" t="s">
        <v>26</v>
      </c>
      <c r="O32" s="34" t="s">
        <v>26</v>
      </c>
    </row>
    <row r="33" spans="1:15" ht="20" customHeight="1">
      <c r="A33" s="14" t="s">
        <v>27</v>
      </c>
      <c r="B33" s="648" t="s">
        <v>36</v>
      </c>
      <c r="C33" s="648"/>
      <c r="D33" s="648"/>
      <c r="E33" s="648"/>
      <c r="F33" s="648"/>
      <c r="G33" s="648"/>
      <c r="H33" s="648"/>
      <c r="I33" s="649"/>
      <c r="J33" s="23">
        <f>1/12</f>
        <v>8.3333333333333329E-2</v>
      </c>
      <c r="K33" s="51">
        <f>$J$33*K29</f>
        <v>144.08666666666664</v>
      </c>
      <c r="L33" s="51">
        <f>$J$33*L29</f>
        <v>132.5</v>
      </c>
      <c r="M33" s="51">
        <f t="shared" ref="M33:O33" si="2">$J$33*M29</f>
        <v>144.08666666666664</v>
      </c>
      <c r="N33" s="51">
        <f t="shared" si="2"/>
        <v>144.08666666666664</v>
      </c>
      <c r="O33" s="51">
        <f t="shared" si="2"/>
        <v>144.08666666666664</v>
      </c>
    </row>
    <row r="34" spans="1:15" ht="20" customHeight="1" thickBot="1">
      <c r="A34" s="22" t="s">
        <v>37</v>
      </c>
      <c r="B34" s="652" t="s">
        <v>38</v>
      </c>
      <c r="C34" s="653"/>
      <c r="D34" s="653"/>
      <c r="E34" s="653"/>
      <c r="F34" s="653"/>
      <c r="G34" s="653"/>
      <c r="H34" s="653"/>
      <c r="I34" s="653"/>
      <c r="J34" s="35">
        <v>3.0249999999999999E-2</v>
      </c>
      <c r="K34" s="52">
        <f>$J$34*K29</f>
        <v>52.303459999999994</v>
      </c>
      <c r="L34" s="52">
        <f t="shared" ref="L34:O34" si="3">$J$34*L29</f>
        <v>48.097499999999997</v>
      </c>
      <c r="M34" s="52">
        <f t="shared" si="3"/>
        <v>52.303459999999994</v>
      </c>
      <c r="N34" s="52">
        <f t="shared" si="3"/>
        <v>52.303459999999994</v>
      </c>
      <c r="O34" s="52">
        <f t="shared" si="3"/>
        <v>52.303459999999994</v>
      </c>
    </row>
    <row r="35" spans="1:15" ht="20" customHeight="1" thickBot="1">
      <c r="A35" s="688" t="s">
        <v>39</v>
      </c>
      <c r="B35" s="689"/>
      <c r="C35" s="689"/>
      <c r="D35" s="689"/>
      <c r="E35" s="689"/>
      <c r="F35" s="689"/>
      <c r="G35" s="689"/>
      <c r="H35" s="689"/>
      <c r="I35" s="690"/>
      <c r="J35" s="36">
        <f t="shared" ref="J35:O35" si="4">+J33+J34</f>
        <v>0.11358333333333333</v>
      </c>
      <c r="K35" s="53">
        <f t="shared" si="4"/>
        <v>196.39012666666665</v>
      </c>
      <c r="L35" s="53">
        <f t="shared" si="4"/>
        <v>180.5975</v>
      </c>
      <c r="M35" s="53">
        <f t="shared" si="4"/>
        <v>196.39012666666665</v>
      </c>
      <c r="N35" s="53">
        <f t="shared" si="4"/>
        <v>196.39012666666665</v>
      </c>
      <c r="O35" s="53">
        <f t="shared" si="4"/>
        <v>196.39012666666665</v>
      </c>
    </row>
    <row r="36" spans="1:15" ht="50" customHeight="1" thickBot="1">
      <c r="A36" s="691" t="s">
        <v>155</v>
      </c>
      <c r="B36" s="692"/>
      <c r="C36" s="692"/>
      <c r="D36" s="692"/>
      <c r="E36" s="692"/>
      <c r="F36" s="692"/>
      <c r="G36" s="692"/>
      <c r="H36" s="692"/>
      <c r="I36" s="692"/>
      <c r="J36" s="692"/>
      <c r="K36" s="693"/>
    </row>
    <row r="37" spans="1:15" ht="20" customHeight="1" thickBot="1">
      <c r="A37" s="694" t="s">
        <v>40</v>
      </c>
      <c r="B37" s="695"/>
      <c r="C37" s="695"/>
      <c r="D37" s="695"/>
      <c r="E37" s="695"/>
      <c r="F37" s="695"/>
      <c r="G37" s="695"/>
      <c r="H37" s="695"/>
      <c r="I37" s="696"/>
      <c r="J37" s="216" t="s">
        <v>288</v>
      </c>
      <c r="K37" s="259">
        <f>(K29+K35)</f>
        <v>1925.4301266666666</v>
      </c>
      <c r="L37" s="259">
        <f t="shared" ref="L37:O37" si="5">(L29+L35)</f>
        <v>1770.5975000000001</v>
      </c>
      <c r="M37" s="259">
        <f t="shared" si="5"/>
        <v>1925.4301266666666</v>
      </c>
      <c r="N37" s="259">
        <f t="shared" si="5"/>
        <v>1925.4301266666666</v>
      </c>
      <c r="O37" s="259">
        <f t="shared" si="5"/>
        <v>1925.4301266666666</v>
      </c>
    </row>
    <row r="38" spans="1:15" ht="20" customHeight="1" thickBot="1">
      <c r="A38" s="681" t="s">
        <v>41</v>
      </c>
      <c r="B38" s="682"/>
      <c r="C38" s="682"/>
      <c r="D38" s="682"/>
      <c r="E38" s="682"/>
      <c r="F38" s="682"/>
      <c r="G38" s="410"/>
      <c r="H38" s="410"/>
      <c r="I38" s="593"/>
      <c r="J38" s="217" t="s">
        <v>35</v>
      </c>
      <c r="K38" s="260" t="s">
        <v>26</v>
      </c>
      <c r="L38" s="260" t="s">
        <v>26</v>
      </c>
      <c r="M38" s="260" t="s">
        <v>26</v>
      </c>
      <c r="N38" s="260" t="s">
        <v>26</v>
      </c>
      <c r="O38" s="260" t="s">
        <v>26</v>
      </c>
    </row>
    <row r="39" spans="1:15" ht="18.75" customHeight="1">
      <c r="A39" s="16" t="s">
        <v>27</v>
      </c>
      <c r="B39" s="476" t="s">
        <v>42</v>
      </c>
      <c r="C39" s="654"/>
      <c r="D39" s="654"/>
      <c r="E39" s="654"/>
      <c r="F39" s="654"/>
      <c r="G39" s="654"/>
      <c r="H39" s="654"/>
      <c r="I39" s="654"/>
      <c r="J39" s="23">
        <v>0.2</v>
      </c>
      <c r="K39" s="51">
        <f>$J$39*K37</f>
        <v>385.08602533333334</v>
      </c>
      <c r="L39" s="51">
        <f t="shared" ref="L39:O39" si="6">$J$39*L37</f>
        <v>354.11950000000002</v>
      </c>
      <c r="M39" s="51">
        <f t="shared" si="6"/>
        <v>385.08602533333334</v>
      </c>
      <c r="N39" s="51">
        <f t="shared" si="6"/>
        <v>385.08602533333334</v>
      </c>
      <c r="O39" s="51">
        <f t="shared" si="6"/>
        <v>385.08602533333334</v>
      </c>
    </row>
    <row r="40" spans="1:15" ht="18.75" customHeight="1">
      <c r="A40" s="14" t="s">
        <v>37</v>
      </c>
      <c r="B40" s="420" t="s">
        <v>43</v>
      </c>
      <c r="C40" s="421"/>
      <c r="D40" s="421"/>
      <c r="E40" s="421"/>
      <c r="F40" s="421"/>
      <c r="G40" s="421"/>
      <c r="H40" s="421"/>
      <c r="I40" s="421"/>
      <c r="J40" s="24">
        <v>2.5000000000000001E-2</v>
      </c>
      <c r="K40" s="51">
        <f>$J$40*K37</f>
        <v>48.135753166666667</v>
      </c>
      <c r="L40" s="51">
        <f t="shared" ref="L40:O40" si="7">$J$40*L37</f>
        <v>44.264937500000002</v>
      </c>
      <c r="M40" s="51">
        <f t="shared" si="7"/>
        <v>48.135753166666667</v>
      </c>
      <c r="N40" s="51">
        <f t="shared" si="7"/>
        <v>48.135753166666667</v>
      </c>
      <c r="O40" s="51">
        <f t="shared" si="7"/>
        <v>48.135753166666667</v>
      </c>
    </row>
    <row r="41" spans="1:15" ht="18.75" customHeight="1">
      <c r="A41" s="14" t="s">
        <v>44</v>
      </c>
      <c r="B41" s="596" t="s">
        <v>45</v>
      </c>
      <c r="C41" s="596"/>
      <c r="D41" s="20" t="s">
        <v>46</v>
      </c>
      <c r="E41" s="81">
        <f>'Licitante - Mão de Obra'!E25</f>
        <v>0.01</v>
      </c>
      <c r="F41" s="20" t="s">
        <v>47</v>
      </c>
      <c r="G41" s="82">
        <f>'Licitante - Mão de Obra'!G25</f>
        <v>2</v>
      </c>
      <c r="H41" s="750"/>
      <c r="I41" s="751"/>
      <c r="J41" s="24">
        <f>E41*G41</f>
        <v>0.02</v>
      </c>
      <c r="K41" s="51">
        <f>$J$41*K37</f>
        <v>38.508602533333331</v>
      </c>
      <c r="L41" s="51">
        <f t="shared" ref="L41:O41" si="8">$J$41*L37</f>
        <v>35.411950000000004</v>
      </c>
      <c r="M41" s="51">
        <f t="shared" si="8"/>
        <v>38.508602533333331</v>
      </c>
      <c r="N41" s="51">
        <f t="shared" si="8"/>
        <v>38.508602533333331</v>
      </c>
      <c r="O41" s="51">
        <f t="shared" si="8"/>
        <v>38.508602533333331</v>
      </c>
    </row>
    <row r="42" spans="1:15" ht="17.149999999999999" customHeight="1">
      <c r="A42" s="14" t="s">
        <v>30</v>
      </c>
      <c r="B42" s="420" t="s">
        <v>48</v>
      </c>
      <c r="C42" s="421"/>
      <c r="D42" s="421"/>
      <c r="E42" s="421"/>
      <c r="F42" s="421"/>
      <c r="G42" s="421"/>
      <c r="H42" s="421"/>
      <c r="I42" s="421"/>
      <c r="J42" s="24">
        <v>1.4999999999999999E-2</v>
      </c>
      <c r="K42" s="51">
        <f>$J$42*K37</f>
        <v>28.881451899999998</v>
      </c>
      <c r="L42" s="51">
        <f t="shared" ref="L42:O42" si="9">$J$42*L37</f>
        <v>26.5589625</v>
      </c>
      <c r="M42" s="51">
        <f t="shared" si="9"/>
        <v>28.881451899999998</v>
      </c>
      <c r="N42" s="51">
        <f t="shared" si="9"/>
        <v>28.881451899999998</v>
      </c>
      <c r="O42" s="51">
        <f t="shared" si="9"/>
        <v>28.881451899999998</v>
      </c>
    </row>
    <row r="43" spans="1:15" ht="17.75" customHeight="1">
      <c r="A43" s="14" t="s">
        <v>49</v>
      </c>
      <c r="B43" s="420" t="s">
        <v>50</v>
      </c>
      <c r="C43" s="421"/>
      <c r="D43" s="421"/>
      <c r="E43" s="421"/>
      <c r="F43" s="421"/>
      <c r="G43" s="421"/>
      <c r="H43" s="421"/>
      <c r="I43" s="421"/>
      <c r="J43" s="24">
        <v>0.01</v>
      </c>
      <c r="K43" s="51">
        <f>$J$43*K37</f>
        <v>19.254301266666666</v>
      </c>
      <c r="L43" s="51">
        <f t="shared" ref="L43:O43" si="10">$J$43*L37</f>
        <v>17.705975000000002</v>
      </c>
      <c r="M43" s="51">
        <f t="shared" si="10"/>
        <v>19.254301266666666</v>
      </c>
      <c r="N43" s="51">
        <f t="shared" si="10"/>
        <v>19.254301266666666</v>
      </c>
      <c r="O43" s="51">
        <f t="shared" si="10"/>
        <v>19.254301266666666</v>
      </c>
    </row>
    <row r="44" spans="1:15" ht="16.399999999999999" customHeight="1">
      <c r="A44" s="14" t="s">
        <v>51</v>
      </c>
      <c r="B44" s="420" t="s">
        <v>52</v>
      </c>
      <c r="C44" s="421"/>
      <c r="D44" s="421"/>
      <c r="E44" s="421"/>
      <c r="F44" s="421"/>
      <c r="G44" s="421"/>
      <c r="H44" s="421"/>
      <c r="I44" s="421"/>
      <c r="J44" s="24">
        <v>6.0000000000000001E-3</v>
      </c>
      <c r="K44" s="51">
        <f>$J$44*K37</f>
        <v>11.55258076</v>
      </c>
      <c r="L44" s="51">
        <f t="shared" ref="L44:O44" si="11">$J$44*L37</f>
        <v>10.623585</v>
      </c>
      <c r="M44" s="51">
        <f t="shared" si="11"/>
        <v>11.55258076</v>
      </c>
      <c r="N44" s="51">
        <f t="shared" si="11"/>
        <v>11.55258076</v>
      </c>
      <c r="O44" s="51">
        <f t="shared" si="11"/>
        <v>11.55258076</v>
      </c>
    </row>
    <row r="45" spans="1:15" ht="17.75" customHeight="1">
      <c r="A45" s="14" t="s">
        <v>53</v>
      </c>
      <c r="B45" s="420" t="s">
        <v>54</v>
      </c>
      <c r="C45" s="421"/>
      <c r="D45" s="421"/>
      <c r="E45" s="421"/>
      <c r="F45" s="421"/>
      <c r="G45" s="421"/>
      <c r="H45" s="421"/>
      <c r="I45" s="421"/>
      <c r="J45" s="24">
        <v>2E-3</v>
      </c>
      <c r="K45" s="51">
        <f>$J$45*K37</f>
        <v>3.8508602533333334</v>
      </c>
      <c r="L45" s="51">
        <f t="shared" ref="L45:O45" si="12">$J$45*L37</f>
        <v>3.5411950000000001</v>
      </c>
      <c r="M45" s="51">
        <f t="shared" si="12"/>
        <v>3.8508602533333334</v>
      </c>
      <c r="N45" s="51">
        <f t="shared" si="12"/>
        <v>3.8508602533333334</v>
      </c>
      <c r="O45" s="51">
        <f t="shared" si="12"/>
        <v>3.8508602533333334</v>
      </c>
    </row>
    <row r="46" spans="1:15" ht="18.75" customHeight="1" thickBot="1">
      <c r="A46" s="22" t="s">
        <v>55</v>
      </c>
      <c r="B46" s="748" t="s">
        <v>56</v>
      </c>
      <c r="C46" s="749"/>
      <c r="D46" s="749"/>
      <c r="E46" s="749"/>
      <c r="F46" s="749"/>
      <c r="G46" s="749"/>
      <c r="H46" s="749"/>
      <c r="I46" s="749"/>
      <c r="J46" s="37">
        <v>0.08</v>
      </c>
      <c r="K46" s="52">
        <f>$J$46*K37</f>
        <v>154.03441013333332</v>
      </c>
      <c r="L46" s="52">
        <f t="shared" ref="L46:O46" si="13">$J$46*L37</f>
        <v>141.64780000000002</v>
      </c>
      <c r="M46" s="52">
        <f t="shared" si="13"/>
        <v>154.03441013333332</v>
      </c>
      <c r="N46" s="52">
        <f t="shared" si="13"/>
        <v>154.03441013333332</v>
      </c>
      <c r="O46" s="52">
        <f t="shared" si="13"/>
        <v>154.03441013333332</v>
      </c>
    </row>
    <row r="47" spans="1:15" ht="18.149999999999999" customHeight="1" thickBot="1">
      <c r="A47" s="685" t="s">
        <v>57</v>
      </c>
      <c r="B47" s="686"/>
      <c r="C47" s="686"/>
      <c r="D47" s="686"/>
      <c r="E47" s="686"/>
      <c r="F47" s="686"/>
      <c r="G47" s="686"/>
      <c r="H47" s="686"/>
      <c r="I47" s="687"/>
      <c r="J47" s="38">
        <f t="shared" ref="J47:O47" si="14">SUM(J39:J46)</f>
        <v>0.35800000000000004</v>
      </c>
      <c r="K47" s="54">
        <f t="shared" si="14"/>
        <v>689.30398534666665</v>
      </c>
      <c r="L47" s="54">
        <f t="shared" si="14"/>
        <v>633.87390500000004</v>
      </c>
      <c r="M47" s="54">
        <f t="shared" si="14"/>
        <v>689.30398534666665</v>
      </c>
      <c r="N47" s="54">
        <f t="shared" si="14"/>
        <v>689.30398534666665</v>
      </c>
      <c r="O47" s="54">
        <f t="shared" si="14"/>
        <v>689.30398534666665</v>
      </c>
    </row>
    <row r="48" spans="1:15" s="21" customFormat="1" ht="50" customHeight="1" thickBot="1">
      <c r="A48" s="683" t="s">
        <v>154</v>
      </c>
      <c r="B48" s="466"/>
      <c r="C48" s="466"/>
      <c r="D48" s="466"/>
      <c r="E48" s="466"/>
      <c r="F48" s="466"/>
      <c r="G48" s="466"/>
      <c r="H48" s="466"/>
      <c r="I48" s="466"/>
      <c r="J48" s="466"/>
      <c r="K48" s="266" t="s">
        <v>331</v>
      </c>
      <c r="L48" s="266" t="s">
        <v>332</v>
      </c>
      <c r="M48" s="266" t="s">
        <v>333</v>
      </c>
      <c r="N48" s="266" t="s">
        <v>334</v>
      </c>
      <c r="O48" s="266" t="s">
        <v>335</v>
      </c>
    </row>
    <row r="49" spans="1:15" ht="20" customHeight="1" thickBot="1">
      <c r="A49" s="543" t="s">
        <v>58</v>
      </c>
      <c r="B49" s="544"/>
      <c r="C49" s="544"/>
      <c r="D49" s="544"/>
      <c r="E49" s="544"/>
      <c r="F49" s="544"/>
      <c r="G49" s="544"/>
      <c r="H49" s="544"/>
      <c r="I49" s="544"/>
      <c r="J49" s="545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</row>
    <row r="50" spans="1:15" ht="20" customHeight="1">
      <c r="A50" s="25" t="s">
        <v>27</v>
      </c>
      <c r="B50" s="684" t="s">
        <v>354</v>
      </c>
      <c r="C50" s="684"/>
      <c r="D50" s="684"/>
      <c r="E50" s="684"/>
      <c r="F50" s="684"/>
      <c r="G50" s="684"/>
      <c r="H50" s="684"/>
      <c r="I50" s="684"/>
      <c r="J50" s="465"/>
      <c r="K50" s="147">
        <f>'Licitante - Mão de Obra'!K30</f>
        <v>116.26</v>
      </c>
      <c r="L50" s="214">
        <f>'Licitante - Mão de Obra'!K31</f>
        <v>116.26</v>
      </c>
      <c r="M50" s="214">
        <f>'Licitante - Mão de Obra'!K32</f>
        <v>116.26</v>
      </c>
      <c r="N50" s="214">
        <f>'Licitante - Mão de Obra'!K33</f>
        <v>107.46</v>
      </c>
      <c r="O50" s="214">
        <f>'Licitante - Mão de Obra'!K34</f>
        <v>182.26</v>
      </c>
    </row>
    <row r="51" spans="1:15" ht="20" customHeight="1">
      <c r="A51" s="26" t="s">
        <v>37</v>
      </c>
      <c r="B51" s="423" t="s">
        <v>345</v>
      </c>
      <c r="C51" s="423"/>
      <c r="D51" s="423"/>
      <c r="E51" s="423"/>
      <c r="F51" s="423"/>
      <c r="G51" s="423"/>
      <c r="H51" s="423"/>
      <c r="I51" s="423"/>
      <c r="J51" s="424"/>
      <c r="K51" s="41">
        <f>'Licitante - Mão de Obra'!$K$37</f>
        <v>144.68</v>
      </c>
      <c r="L51" s="41">
        <f>'Licitante - Mão de Obra'!K38</f>
        <v>138.11000000000001</v>
      </c>
      <c r="M51" s="41">
        <f>'Licitante - Mão de Obra'!$K$37</f>
        <v>144.68</v>
      </c>
      <c r="N51" s="41">
        <f>'Licitante - Mão de Obra'!$K$37</f>
        <v>144.68</v>
      </c>
      <c r="O51" s="41">
        <f>'Licitante - Mão de Obra'!$K$37</f>
        <v>144.68</v>
      </c>
    </row>
    <row r="52" spans="1:15" ht="20" customHeight="1">
      <c r="A52" s="26" t="s">
        <v>44</v>
      </c>
      <c r="B52" s="423" t="s">
        <v>346</v>
      </c>
      <c r="C52" s="423"/>
      <c r="D52" s="423"/>
      <c r="E52" s="423"/>
      <c r="F52" s="423"/>
      <c r="G52" s="423"/>
      <c r="H52" s="423"/>
      <c r="I52" s="423"/>
      <c r="J52" s="424"/>
      <c r="K52" s="41">
        <f>'Licitante - Mão de Obra'!$K$40</f>
        <v>426.14</v>
      </c>
      <c r="L52" s="41">
        <f>'Licitante - Mão de Obra'!K42</f>
        <v>138</v>
      </c>
      <c r="M52" s="41">
        <f>'Licitante - Mão de Obra'!$K$40</f>
        <v>426.14</v>
      </c>
      <c r="N52" s="41">
        <f>'Licitante - Mão de Obra'!$K$40</f>
        <v>426.14</v>
      </c>
      <c r="O52" s="41">
        <f>'Licitante - Mão de Obra'!$K$40</f>
        <v>426.14</v>
      </c>
    </row>
    <row r="53" spans="1:15" ht="20" customHeight="1">
      <c r="A53" s="26" t="s">
        <v>30</v>
      </c>
      <c r="B53" s="423" t="s">
        <v>355</v>
      </c>
      <c r="C53" s="423"/>
      <c r="D53" s="423"/>
      <c r="E53" s="423"/>
      <c r="F53" s="423"/>
      <c r="G53" s="423"/>
      <c r="H53" s="423"/>
      <c r="I53" s="423"/>
      <c r="J53" s="424"/>
      <c r="K53" s="41">
        <f>'Licitante - Mão de Obra'!$K$44</f>
        <v>35.33</v>
      </c>
      <c r="L53" s="41">
        <f>'Licitante - Mão de Obra'!$K$44</f>
        <v>35.33</v>
      </c>
      <c r="M53" s="41">
        <f>'Licitante - Mão de Obra'!$K$44</f>
        <v>35.33</v>
      </c>
      <c r="N53" s="41">
        <f>'Licitante - Mão de Obra'!$K$44</f>
        <v>35.33</v>
      </c>
      <c r="O53" s="41">
        <f>'Licitante - Mão de Obra'!$K$44</f>
        <v>35.33</v>
      </c>
    </row>
    <row r="54" spans="1:15" ht="20" customHeight="1">
      <c r="A54" s="26" t="s">
        <v>49</v>
      </c>
      <c r="B54" s="423" t="s">
        <v>347</v>
      </c>
      <c r="C54" s="423"/>
      <c r="D54" s="423"/>
      <c r="E54" s="423"/>
      <c r="F54" s="423"/>
      <c r="G54" s="423"/>
      <c r="H54" s="423"/>
      <c r="I54" s="423"/>
      <c r="J54" s="424"/>
      <c r="K54" s="41">
        <f>'Licitante - Mão de Obra'!K46</f>
        <v>13.661999999999999</v>
      </c>
      <c r="L54" s="41">
        <f>'Licitante - Mão de Obra'!K48</f>
        <v>2.2770000000000001</v>
      </c>
      <c r="M54" s="41">
        <f>'Licitante - Mão de Obra'!$K$46</f>
        <v>13.661999999999999</v>
      </c>
      <c r="N54" s="41">
        <f>'Licitante - Mão de Obra'!$K$46</f>
        <v>13.661999999999999</v>
      </c>
      <c r="O54" s="41">
        <f>'Licitante - Mão de Obra'!$K$46</f>
        <v>13.661999999999999</v>
      </c>
    </row>
    <row r="55" spans="1:15" ht="20" customHeight="1">
      <c r="A55" s="26" t="s">
        <v>51</v>
      </c>
      <c r="B55" s="423" t="s">
        <v>348</v>
      </c>
      <c r="C55" s="423"/>
      <c r="D55" s="423"/>
      <c r="E55" s="423"/>
      <c r="F55" s="423"/>
      <c r="G55" s="423"/>
      <c r="H55" s="423"/>
      <c r="I55" s="423"/>
      <c r="J55" s="424"/>
      <c r="K55" s="41">
        <f>'Licitante - Mão de Obra'!$K$49</f>
        <v>12.474</v>
      </c>
      <c r="L55" s="41">
        <f>'Licitante - Mão de Obra'!$K$49</f>
        <v>12.474</v>
      </c>
      <c r="M55" s="41">
        <f>'Licitante - Mão de Obra'!$K$49</f>
        <v>12.474</v>
      </c>
      <c r="N55" s="41">
        <f>'Licitante - Mão de Obra'!$K$49</f>
        <v>12.474</v>
      </c>
      <c r="O55" s="41">
        <f>'Licitante - Mão de Obra'!$K$49</f>
        <v>12.474</v>
      </c>
    </row>
    <row r="56" spans="1:15" ht="20" customHeight="1">
      <c r="A56" s="26" t="s">
        <v>53</v>
      </c>
      <c r="B56" s="423" t="s">
        <v>357</v>
      </c>
      <c r="C56" s="423"/>
      <c r="D56" s="423"/>
      <c r="E56" s="423"/>
      <c r="F56" s="423"/>
      <c r="G56" s="423"/>
      <c r="H56" s="423"/>
      <c r="I56" s="423"/>
      <c r="J56" s="424"/>
      <c r="K56" s="41">
        <f>'Licitante - Mão de Obra'!$K$53</f>
        <v>15.96</v>
      </c>
      <c r="L56" s="41">
        <f>'Licitante - Mão de Obra'!K52</f>
        <v>11.13</v>
      </c>
      <c r="M56" s="41">
        <f>'Licitante - Mão de Obra'!$K$53</f>
        <v>15.96</v>
      </c>
      <c r="N56" s="41">
        <f>'Licitante - Mão de Obra'!$K$53</f>
        <v>15.96</v>
      </c>
      <c r="O56" s="41">
        <f>'Licitante - Mão de Obra'!$K$53</f>
        <v>15.96</v>
      </c>
    </row>
    <row r="57" spans="1:15" ht="20" customHeight="1">
      <c r="A57" s="26" t="s">
        <v>55</v>
      </c>
      <c r="B57" s="423" t="s">
        <v>356</v>
      </c>
      <c r="C57" s="423"/>
      <c r="D57" s="423"/>
      <c r="E57" s="423"/>
      <c r="F57" s="423"/>
      <c r="G57" s="423"/>
      <c r="H57" s="423"/>
      <c r="I57" s="423"/>
      <c r="J57" s="424"/>
      <c r="K57" s="41">
        <f>'Licitante - Mão de Obra'!$K$54</f>
        <v>1.7300000000000002</v>
      </c>
      <c r="L57" s="41">
        <f>'Licitante - Mão de Obra'!$K$54</f>
        <v>1.7300000000000002</v>
      </c>
      <c r="M57" s="41">
        <f>'Licitante - Mão de Obra'!$K$54</f>
        <v>1.7300000000000002</v>
      </c>
      <c r="N57" s="41">
        <f>'Licitante - Mão de Obra'!$K$54</f>
        <v>1.7300000000000002</v>
      </c>
      <c r="O57" s="41">
        <f>'Licitante - Mão de Obra'!$K$54</f>
        <v>1.7300000000000002</v>
      </c>
    </row>
    <row r="58" spans="1:15" ht="47" customHeight="1" thickBot="1">
      <c r="A58" s="39" t="s">
        <v>138</v>
      </c>
      <c r="B58" s="723" t="str">
        <f>'Licitante - Mão de Obra'!B55</f>
        <v>outros/descrever. Obs: (não serão aceitos lançamentos de prêmio por assiduidade ou qualquer outra verba de caráter pessoal, estritamente ligada ao empregado que presta o serviço. O licitante deverá prever tal tipo de custo em suas despesas administrativas.</v>
      </c>
      <c r="C58" s="724"/>
      <c r="D58" s="724"/>
      <c r="E58" s="724"/>
      <c r="F58" s="724"/>
      <c r="G58" s="724"/>
      <c r="H58" s="724"/>
      <c r="I58" s="724"/>
      <c r="J58" s="725"/>
      <c r="K58" s="42">
        <f>'Licitante - Mão de Obra'!$K$55</f>
        <v>0</v>
      </c>
      <c r="L58" s="213">
        <f>'Licitante - Mão de Obra'!$K$55</f>
        <v>0</v>
      </c>
      <c r="M58" s="213">
        <f>'Licitante - Mão de Obra'!$K$55</f>
        <v>0</v>
      </c>
      <c r="N58" s="213">
        <f>'Licitante - Mão de Obra'!$K$55</f>
        <v>0</v>
      </c>
      <c r="O58" s="213">
        <f>'Licitante - Mão de Obra'!$K$55</f>
        <v>0</v>
      </c>
    </row>
    <row r="59" spans="1:15" ht="20" customHeight="1" thickBot="1">
      <c r="A59" s="688" t="s">
        <v>59</v>
      </c>
      <c r="B59" s="689"/>
      <c r="C59" s="689"/>
      <c r="D59" s="689"/>
      <c r="E59" s="689"/>
      <c r="F59" s="689"/>
      <c r="G59" s="689"/>
      <c r="H59" s="689"/>
      <c r="I59" s="689"/>
      <c r="J59" s="690"/>
      <c r="K59" s="30">
        <f t="shared" ref="K59:O59" si="15">SUM(K50:K58)</f>
        <v>766.2360000000001</v>
      </c>
      <c r="L59" s="30">
        <f t="shared" si="15"/>
        <v>455.31099999999998</v>
      </c>
      <c r="M59" s="30">
        <f t="shared" si="15"/>
        <v>766.2360000000001</v>
      </c>
      <c r="N59" s="30">
        <f t="shared" si="15"/>
        <v>757.43600000000015</v>
      </c>
      <c r="O59" s="30">
        <f t="shared" si="15"/>
        <v>832.2360000000001</v>
      </c>
    </row>
    <row r="60" spans="1:15" ht="50" customHeight="1" thickBot="1">
      <c r="A60" s="739" t="s">
        <v>179</v>
      </c>
      <c r="B60" s="740"/>
      <c r="C60" s="740"/>
      <c r="D60" s="740"/>
      <c r="E60" s="740"/>
      <c r="F60" s="740"/>
      <c r="G60" s="740"/>
      <c r="H60" s="740"/>
      <c r="I60" s="740"/>
      <c r="J60" s="740"/>
      <c r="K60" s="741"/>
    </row>
    <row r="61" spans="1:15" s="9" customFormat="1" ht="20" customHeight="1" thickBot="1">
      <c r="A61" s="409" t="s">
        <v>60</v>
      </c>
      <c r="B61" s="427"/>
      <c r="C61" s="427"/>
      <c r="D61" s="427"/>
      <c r="E61" s="427"/>
      <c r="F61" s="427"/>
      <c r="G61" s="427"/>
      <c r="H61" s="427"/>
      <c r="I61" s="427"/>
      <c r="J61" s="428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</row>
    <row r="62" spans="1:15" ht="20" customHeight="1">
      <c r="A62" s="733" t="s">
        <v>160</v>
      </c>
      <c r="B62" s="734"/>
      <c r="C62" s="726" t="s">
        <v>163</v>
      </c>
      <c r="D62" s="673"/>
      <c r="E62" s="673"/>
      <c r="F62" s="673"/>
      <c r="G62" s="673"/>
      <c r="H62" s="673"/>
      <c r="I62" s="673"/>
      <c r="J62" s="674"/>
      <c r="K62" s="45">
        <f>K35</f>
        <v>196.39012666666665</v>
      </c>
      <c r="L62" s="45">
        <f t="shared" ref="L62:O62" si="16">L35</f>
        <v>180.5975</v>
      </c>
      <c r="M62" s="45">
        <f t="shared" si="16"/>
        <v>196.39012666666665</v>
      </c>
      <c r="N62" s="45">
        <f t="shared" si="16"/>
        <v>196.39012666666665</v>
      </c>
      <c r="O62" s="45">
        <f t="shared" si="16"/>
        <v>196.39012666666665</v>
      </c>
    </row>
    <row r="63" spans="1:15" ht="20" customHeight="1">
      <c r="A63" s="735" t="s">
        <v>161</v>
      </c>
      <c r="B63" s="736"/>
      <c r="C63" s="727" t="s">
        <v>164</v>
      </c>
      <c r="D63" s="728"/>
      <c r="E63" s="728"/>
      <c r="F63" s="728"/>
      <c r="G63" s="728"/>
      <c r="H63" s="728"/>
      <c r="I63" s="728"/>
      <c r="J63" s="729"/>
      <c r="K63" s="46">
        <f>K47</f>
        <v>689.30398534666665</v>
      </c>
      <c r="L63" s="46">
        <f t="shared" ref="L63:O63" si="17">L47</f>
        <v>633.87390500000004</v>
      </c>
      <c r="M63" s="46">
        <f t="shared" si="17"/>
        <v>689.30398534666665</v>
      </c>
      <c r="N63" s="46">
        <f t="shared" si="17"/>
        <v>689.30398534666665</v>
      </c>
      <c r="O63" s="46">
        <f t="shared" si="17"/>
        <v>689.30398534666665</v>
      </c>
    </row>
    <row r="64" spans="1:15" ht="20" customHeight="1" thickBot="1">
      <c r="A64" s="737" t="s">
        <v>162</v>
      </c>
      <c r="B64" s="738"/>
      <c r="C64" s="730" t="s">
        <v>61</v>
      </c>
      <c r="D64" s="731"/>
      <c r="E64" s="731"/>
      <c r="F64" s="731"/>
      <c r="G64" s="731"/>
      <c r="H64" s="731"/>
      <c r="I64" s="731"/>
      <c r="J64" s="732"/>
      <c r="K64" s="47">
        <f t="shared" ref="K64:O64" si="18">K59</f>
        <v>766.2360000000001</v>
      </c>
      <c r="L64" s="47">
        <f t="shared" si="18"/>
        <v>455.31099999999998</v>
      </c>
      <c r="M64" s="47">
        <f t="shared" si="18"/>
        <v>766.2360000000001</v>
      </c>
      <c r="N64" s="47">
        <f t="shared" si="18"/>
        <v>757.43600000000015</v>
      </c>
      <c r="O64" s="47">
        <f t="shared" si="18"/>
        <v>832.2360000000001</v>
      </c>
    </row>
    <row r="65" spans="1:15" ht="20" customHeight="1" thickBot="1">
      <c r="A65" s="489" t="s">
        <v>62</v>
      </c>
      <c r="B65" s="490"/>
      <c r="C65" s="490"/>
      <c r="D65" s="490"/>
      <c r="E65" s="490"/>
      <c r="F65" s="490"/>
      <c r="G65" s="490"/>
      <c r="H65" s="490"/>
      <c r="I65" s="490"/>
      <c r="J65" s="491"/>
      <c r="K65" s="48">
        <f t="shared" ref="K65:O65" si="19">SUM(K62:K64)</f>
        <v>1651.9301120133334</v>
      </c>
      <c r="L65" s="48">
        <f t="shared" si="19"/>
        <v>1269.7824049999999</v>
      </c>
      <c r="M65" s="48">
        <f t="shared" si="19"/>
        <v>1651.9301120133334</v>
      </c>
      <c r="N65" s="48">
        <f t="shared" si="19"/>
        <v>1643.1301120133335</v>
      </c>
      <c r="O65" s="48">
        <f t="shared" si="19"/>
        <v>1717.9301120133334</v>
      </c>
    </row>
    <row r="66" spans="1:15" ht="20" customHeight="1" thickBot="1">
      <c r="A66" s="566"/>
      <c r="B66" s="566"/>
      <c r="C66" s="566"/>
      <c r="D66" s="566"/>
      <c r="E66" s="566"/>
      <c r="F66" s="566"/>
      <c r="G66" s="566"/>
      <c r="H66" s="566"/>
      <c r="I66" s="566"/>
      <c r="J66" s="566"/>
      <c r="K66" s="566"/>
    </row>
    <row r="67" spans="1:15" ht="20" customHeight="1" thickBot="1">
      <c r="A67" s="742" t="s">
        <v>63</v>
      </c>
      <c r="B67" s="743"/>
      <c r="C67" s="743"/>
      <c r="D67" s="743"/>
      <c r="E67" s="743"/>
      <c r="F67" s="743"/>
      <c r="G67" s="743"/>
      <c r="H67" s="743"/>
      <c r="I67" s="743"/>
      <c r="J67" s="743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</row>
    <row r="68" spans="1:15" ht="20" customHeight="1">
      <c r="A68" s="14" t="s">
        <v>27</v>
      </c>
      <c r="B68" s="648" t="s">
        <v>64</v>
      </c>
      <c r="C68" s="648"/>
      <c r="D68" s="648"/>
      <c r="E68" s="648"/>
      <c r="F68" s="648"/>
      <c r="G68" s="648"/>
      <c r="H68" s="648"/>
      <c r="I68" s="648"/>
      <c r="J68" s="649"/>
      <c r="K68" s="76">
        <f>(K29+K35)*'Licitante - Mão de Obra'!$J$58</f>
        <v>8.0226255277777767</v>
      </c>
      <c r="L68" s="76">
        <f>(L29+L35)*'Licitante - Mão de Obra'!$J$58</f>
        <v>7.3774895833333334</v>
      </c>
      <c r="M68" s="76">
        <f>(M29+M35)*'Licitante - Mão de Obra'!$J$58</f>
        <v>8.0226255277777767</v>
      </c>
      <c r="N68" s="76">
        <f>(N29+N35)*'Licitante - Mão de Obra'!$J$58</f>
        <v>8.0226255277777767</v>
      </c>
      <c r="O68" s="76">
        <f>(O29+O35)*'Licitante - Mão de Obra'!$J$58</f>
        <v>8.0226255277777767</v>
      </c>
    </row>
    <row r="69" spans="1:15" ht="20" customHeight="1">
      <c r="A69" s="14" t="s">
        <v>37</v>
      </c>
      <c r="B69" s="648" t="s">
        <v>66</v>
      </c>
      <c r="C69" s="648"/>
      <c r="D69" s="648"/>
      <c r="E69" s="648"/>
      <c r="F69" s="648"/>
      <c r="G69" s="648"/>
      <c r="H69" s="648"/>
      <c r="I69" s="648" t="s">
        <v>67</v>
      </c>
      <c r="J69" s="649">
        <f>0.08*J68</f>
        <v>0</v>
      </c>
      <c r="K69" s="76">
        <f t="shared" ref="K69:O69" si="20">ROUND(K68*$J$46,2)</f>
        <v>0.64</v>
      </c>
      <c r="L69" s="76">
        <f t="shared" si="20"/>
        <v>0.59</v>
      </c>
      <c r="M69" s="76">
        <f t="shared" si="20"/>
        <v>0.64</v>
      </c>
      <c r="N69" s="76">
        <f t="shared" si="20"/>
        <v>0.64</v>
      </c>
      <c r="O69" s="76">
        <f t="shared" si="20"/>
        <v>0.64</v>
      </c>
    </row>
    <row r="70" spans="1:15" s="9" customFormat="1" ht="20" customHeight="1">
      <c r="A70" s="14" t="s">
        <v>44</v>
      </c>
      <c r="B70" s="649" t="s">
        <v>297</v>
      </c>
      <c r="C70" s="789"/>
      <c r="D70" s="789"/>
      <c r="E70" s="789"/>
      <c r="F70" s="789"/>
      <c r="G70" s="789"/>
      <c r="H70" s="789"/>
      <c r="I70" s="789"/>
      <c r="J70" s="790"/>
      <c r="K70" s="76">
        <f>(K29+K35)*0.08*0.4*'Licitante - Mão de Obra'!$H$58</f>
        <v>3.0806882026666669</v>
      </c>
      <c r="L70" s="76">
        <f>(L29+L35)*0.08*0.4*'Licitante - Mão de Obra'!$H$58</f>
        <v>2.8329560000000007</v>
      </c>
      <c r="M70" s="76">
        <f>(M29+M35)*0.08*0.4*'Licitante - Mão de Obra'!$H$58</f>
        <v>3.0806882026666669</v>
      </c>
      <c r="N70" s="76">
        <f>(N29+N35)*0.08*0.4*'Licitante - Mão de Obra'!$H$58</f>
        <v>3.0806882026666669</v>
      </c>
      <c r="O70" s="76">
        <f>(O29+O35)*0.08*0.4*'Licitante - Mão de Obra'!$H$58</f>
        <v>3.0806882026666669</v>
      </c>
    </row>
    <row r="71" spans="1:15" ht="20" customHeight="1">
      <c r="A71" s="14" t="s">
        <v>30</v>
      </c>
      <c r="B71" s="648" t="s">
        <v>68</v>
      </c>
      <c r="C71" s="648"/>
      <c r="D71" s="648"/>
      <c r="E71" s="648"/>
      <c r="F71" s="648" t="s">
        <v>69</v>
      </c>
      <c r="G71" s="648"/>
      <c r="H71" s="648"/>
      <c r="I71" s="648"/>
      <c r="J71" s="649">
        <v>1.9400000000000001E-2</v>
      </c>
      <c r="K71" s="76">
        <f>(K29+K35)*(7/12/30)*(100%-'Licitante - Mão de Obra'!$H$58)</f>
        <v>35.566973173148149</v>
      </c>
      <c r="L71" s="76">
        <f>(L29+L35)*(7/12/30)*(100%-'Licitante - Mão de Obra'!$H$58)</f>
        <v>32.706870486111107</v>
      </c>
      <c r="M71" s="76">
        <f>(M29+M35)*(7/12/30)*(100%-'Licitante - Mão de Obra'!$H$58)</f>
        <v>35.566973173148149</v>
      </c>
      <c r="N71" s="76">
        <f>(N29+N35)*(7/12/30)*(100%-'Licitante - Mão de Obra'!$H$58)</f>
        <v>35.566973173148149</v>
      </c>
      <c r="O71" s="76">
        <f>(O29+O35)*(7/12/30)*(100%-'Licitante - Mão de Obra'!$H$58)</f>
        <v>35.566973173148149</v>
      </c>
    </row>
    <row r="72" spans="1:15" ht="20" customHeight="1">
      <c r="A72" s="14" t="s">
        <v>49</v>
      </c>
      <c r="B72" s="648" t="s">
        <v>70</v>
      </c>
      <c r="C72" s="648"/>
      <c r="D72" s="648"/>
      <c r="E72" s="648"/>
      <c r="F72" s="648"/>
      <c r="G72" s="648"/>
      <c r="H72" s="648"/>
      <c r="I72" s="648"/>
      <c r="J72" s="649">
        <f>J47*J71</f>
        <v>6.9452000000000012E-3</v>
      </c>
      <c r="K72" s="76">
        <f>ROUND($J$47*K71,2)</f>
        <v>12.73</v>
      </c>
      <c r="L72" s="76">
        <f t="shared" ref="L72:O72" si="21">ROUND($J$47*L71,2)</f>
        <v>11.71</v>
      </c>
      <c r="M72" s="76">
        <f t="shared" si="21"/>
        <v>12.73</v>
      </c>
      <c r="N72" s="76">
        <f t="shared" si="21"/>
        <v>12.73</v>
      </c>
      <c r="O72" s="76">
        <f t="shared" si="21"/>
        <v>12.73</v>
      </c>
    </row>
    <row r="73" spans="1:15" ht="20" customHeight="1" thickBot="1">
      <c r="A73" s="22" t="s">
        <v>51</v>
      </c>
      <c r="B73" s="744" t="s">
        <v>180</v>
      </c>
      <c r="C73" s="745"/>
      <c r="D73" s="745"/>
      <c r="E73" s="745"/>
      <c r="F73" s="745"/>
      <c r="G73" s="745"/>
      <c r="H73" s="745"/>
      <c r="I73" s="746"/>
      <c r="J73" s="79">
        <v>0.04</v>
      </c>
      <c r="K73" s="77">
        <f>(K29+K35)*0.08*0.4</f>
        <v>61.613764053333334</v>
      </c>
      <c r="L73" s="77">
        <f t="shared" ref="L73:O73" si="22">(L29+L35)*0.08*0.4</f>
        <v>56.659120000000009</v>
      </c>
      <c r="M73" s="77">
        <f t="shared" si="22"/>
        <v>61.613764053333334</v>
      </c>
      <c r="N73" s="77">
        <f t="shared" si="22"/>
        <v>61.613764053333334</v>
      </c>
      <c r="O73" s="77">
        <f t="shared" si="22"/>
        <v>61.613764053333334</v>
      </c>
    </row>
    <row r="74" spans="1:15" ht="20" customHeight="1" thickBot="1">
      <c r="A74" s="489" t="s">
        <v>71</v>
      </c>
      <c r="B74" s="490"/>
      <c r="C74" s="490"/>
      <c r="D74" s="490"/>
      <c r="E74" s="490"/>
      <c r="F74" s="490"/>
      <c r="G74" s="490"/>
      <c r="H74" s="490"/>
      <c r="I74" s="490"/>
      <c r="J74" s="491"/>
      <c r="K74" s="80">
        <f t="shared" ref="K74:O74" si="23">SUM(K68:K73)</f>
        <v>121.65405095692594</v>
      </c>
      <c r="L74" s="80">
        <f t="shared" si="23"/>
        <v>111.87643606944445</v>
      </c>
      <c r="M74" s="80">
        <f t="shared" si="23"/>
        <v>121.65405095692594</v>
      </c>
      <c r="N74" s="80">
        <f t="shared" si="23"/>
        <v>121.65405095692594</v>
      </c>
      <c r="O74" s="80">
        <f t="shared" si="23"/>
        <v>121.65405095692594</v>
      </c>
    </row>
    <row r="75" spans="1:15" ht="20" customHeight="1">
      <c r="A75" s="639"/>
      <c r="B75" s="640"/>
      <c r="C75" s="640"/>
      <c r="D75" s="640"/>
      <c r="E75" s="640"/>
      <c r="F75" s="640"/>
      <c r="G75" s="640"/>
      <c r="H75" s="640"/>
      <c r="I75" s="640"/>
      <c r="J75" s="641"/>
      <c r="K75" s="266" t="s">
        <v>331</v>
      </c>
      <c r="L75" s="266" t="s">
        <v>332</v>
      </c>
      <c r="M75" s="266" t="s">
        <v>333</v>
      </c>
      <c r="N75" s="266" t="s">
        <v>334</v>
      </c>
      <c r="O75" s="266" t="s">
        <v>335</v>
      </c>
    </row>
    <row r="76" spans="1:15" ht="20" customHeight="1">
      <c r="A76" s="586" t="s">
        <v>72</v>
      </c>
      <c r="B76" s="586"/>
      <c r="C76" s="586"/>
      <c r="D76" s="586"/>
      <c r="E76" s="586"/>
      <c r="F76" s="586"/>
      <c r="G76" s="586"/>
      <c r="H76" s="586"/>
      <c r="I76" s="586"/>
      <c r="J76" s="586"/>
      <c r="K76" s="662"/>
      <c r="L76" s="662"/>
      <c r="M76" s="662"/>
      <c r="N76" s="662"/>
      <c r="O76" s="662"/>
    </row>
    <row r="77" spans="1:15" s="9" customFormat="1" ht="20" customHeight="1">
      <c r="A77" s="782" t="s">
        <v>214</v>
      </c>
      <c r="B77" s="783"/>
      <c r="C77" s="783"/>
      <c r="D77" s="783"/>
      <c r="E77" s="783"/>
      <c r="F77" s="783"/>
      <c r="G77" s="783"/>
      <c r="H77" s="784"/>
      <c r="I77" s="778" t="s">
        <v>174</v>
      </c>
      <c r="J77" s="778"/>
      <c r="K77" s="261">
        <f>K29</f>
        <v>1729.04</v>
      </c>
      <c r="L77" s="261">
        <f t="shared" ref="L77:O77" si="24">L29</f>
        <v>1590</v>
      </c>
      <c r="M77" s="261">
        <f t="shared" si="24"/>
        <v>1729.04</v>
      </c>
      <c r="N77" s="261">
        <f t="shared" si="24"/>
        <v>1729.04</v>
      </c>
      <c r="O77" s="261">
        <f t="shared" si="24"/>
        <v>1729.04</v>
      </c>
    </row>
    <row r="78" spans="1:15" s="9" customFormat="1" ht="20" customHeight="1">
      <c r="A78" s="782"/>
      <c r="B78" s="783"/>
      <c r="C78" s="783"/>
      <c r="D78" s="783"/>
      <c r="E78" s="783"/>
      <c r="F78" s="783"/>
      <c r="G78" s="783"/>
      <c r="H78" s="784"/>
      <c r="I78" s="788" t="s">
        <v>298</v>
      </c>
      <c r="J78" s="788"/>
      <c r="K78" s="110">
        <f>K65-K50-K52</f>
        <v>1109.5301120133336</v>
      </c>
      <c r="L78" s="110">
        <f t="shared" ref="L78:O78" si="25">L65-L50-L52</f>
        <v>1015.5224049999999</v>
      </c>
      <c r="M78" s="110">
        <f t="shared" si="25"/>
        <v>1109.5301120133336</v>
      </c>
      <c r="N78" s="110">
        <f t="shared" si="25"/>
        <v>1109.5301120133336</v>
      </c>
      <c r="O78" s="110">
        <f t="shared" si="25"/>
        <v>1109.5301120133336</v>
      </c>
    </row>
    <row r="79" spans="1:15" s="9" customFormat="1" ht="20" customHeight="1" thickBot="1">
      <c r="A79" s="782"/>
      <c r="B79" s="783"/>
      <c r="C79" s="783"/>
      <c r="D79" s="783"/>
      <c r="E79" s="783"/>
      <c r="F79" s="783"/>
      <c r="G79" s="783"/>
      <c r="H79" s="784"/>
      <c r="I79" s="779" t="s">
        <v>175</v>
      </c>
      <c r="J79" s="779"/>
      <c r="K79" s="111">
        <f t="shared" ref="K79:O79" si="26">K74</f>
        <v>121.65405095692594</v>
      </c>
      <c r="L79" s="111">
        <f t="shared" si="26"/>
        <v>111.87643606944445</v>
      </c>
      <c r="M79" s="111">
        <f t="shared" si="26"/>
        <v>121.65405095692594</v>
      </c>
      <c r="N79" s="111">
        <f t="shared" si="26"/>
        <v>121.65405095692594</v>
      </c>
      <c r="O79" s="111">
        <f t="shared" si="26"/>
        <v>121.65405095692594</v>
      </c>
    </row>
    <row r="80" spans="1:15" s="9" customFormat="1" ht="20" customHeight="1" thickBot="1">
      <c r="A80" s="785"/>
      <c r="B80" s="786"/>
      <c r="C80" s="786"/>
      <c r="D80" s="786"/>
      <c r="E80" s="786"/>
      <c r="F80" s="786"/>
      <c r="G80" s="786"/>
      <c r="H80" s="787"/>
      <c r="I80" s="780" t="s">
        <v>173</v>
      </c>
      <c r="J80" s="781"/>
      <c r="K80" s="112">
        <f t="shared" ref="K80:O80" si="27">SUM(K77:K79)</f>
        <v>2960.2241629702594</v>
      </c>
      <c r="L80" s="112">
        <f t="shared" si="27"/>
        <v>2717.3988410694442</v>
      </c>
      <c r="M80" s="112">
        <f t="shared" si="27"/>
        <v>2960.2241629702594</v>
      </c>
      <c r="N80" s="112">
        <f t="shared" si="27"/>
        <v>2960.2241629702594</v>
      </c>
      <c r="O80" s="112">
        <f t="shared" si="27"/>
        <v>2960.2241629702594</v>
      </c>
    </row>
    <row r="81" spans="1:16" ht="20" customHeight="1" thickBot="1">
      <c r="A81" s="688" t="s">
        <v>73</v>
      </c>
      <c r="B81" s="689"/>
      <c r="C81" s="689"/>
      <c r="D81" s="689"/>
      <c r="E81" s="689"/>
      <c r="F81" s="689"/>
      <c r="G81" s="689"/>
      <c r="H81" s="689"/>
      <c r="I81" s="690"/>
      <c r="J81" s="113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</row>
    <row r="82" spans="1:16" ht="20" customHeight="1">
      <c r="A82" s="88" t="s">
        <v>27</v>
      </c>
      <c r="B82" s="476" t="s">
        <v>176</v>
      </c>
      <c r="C82" s="654"/>
      <c r="D82" s="654"/>
      <c r="E82" s="654"/>
      <c r="F82" s="654"/>
      <c r="G82" s="654"/>
      <c r="H82" s="654"/>
      <c r="I82" s="654"/>
      <c r="J82" s="114">
        <v>9.0749999999999997E-2</v>
      </c>
      <c r="K82" s="93">
        <f>K80*$J$82</f>
        <v>268.64034278955103</v>
      </c>
      <c r="L82" s="93">
        <f t="shared" ref="L82:O82" si="28">L80*$J$82</f>
        <v>246.60394482705206</v>
      </c>
      <c r="M82" s="93">
        <f t="shared" si="28"/>
        <v>268.64034278955103</v>
      </c>
      <c r="N82" s="93">
        <f t="shared" si="28"/>
        <v>268.64034278955103</v>
      </c>
      <c r="O82" s="93">
        <f t="shared" si="28"/>
        <v>268.64034278955103</v>
      </c>
    </row>
    <row r="83" spans="1:16" ht="20" customHeight="1">
      <c r="A83" s="19" t="s">
        <v>37</v>
      </c>
      <c r="B83" s="596" t="s">
        <v>74</v>
      </c>
      <c r="C83" s="596"/>
      <c r="D83" s="596"/>
      <c r="E83" s="596"/>
      <c r="F83" s="596"/>
      <c r="G83" s="596"/>
      <c r="H83" s="596"/>
      <c r="I83" s="658"/>
      <c r="J83" s="24">
        <f>'Licitante - Mão de Obra'!J63</f>
        <v>8.3333333333333332E-3</v>
      </c>
      <c r="K83" s="94">
        <f t="shared" ref="K83:O83" si="29">(ROUND(K80*$J$83,2))</f>
        <v>24.67</v>
      </c>
      <c r="L83" s="94">
        <f t="shared" si="29"/>
        <v>22.64</v>
      </c>
      <c r="M83" s="94">
        <f t="shared" si="29"/>
        <v>24.67</v>
      </c>
      <c r="N83" s="94">
        <f t="shared" si="29"/>
        <v>24.67</v>
      </c>
      <c r="O83" s="94">
        <f t="shared" si="29"/>
        <v>24.67</v>
      </c>
    </row>
    <row r="84" spans="1:16" ht="20" customHeight="1">
      <c r="A84" s="19" t="s">
        <v>44</v>
      </c>
      <c r="B84" s="596" t="s">
        <v>75</v>
      </c>
      <c r="C84" s="596"/>
      <c r="D84" s="596"/>
      <c r="E84" s="596"/>
      <c r="F84" s="596"/>
      <c r="G84" s="596"/>
      <c r="H84" s="596"/>
      <c r="I84" s="658"/>
      <c r="J84" s="24">
        <f>'Licitante - Mão de Obra'!J64</f>
        <v>1.3888888888888889E-4</v>
      </c>
      <c r="K84" s="94">
        <f t="shared" ref="K84:O84" si="30">ROUND(K80*$J$84,2)</f>
        <v>0.41</v>
      </c>
      <c r="L84" s="94">
        <f t="shared" si="30"/>
        <v>0.38</v>
      </c>
      <c r="M84" s="94">
        <f t="shared" si="30"/>
        <v>0.41</v>
      </c>
      <c r="N84" s="94">
        <f t="shared" si="30"/>
        <v>0.41</v>
      </c>
      <c r="O84" s="94">
        <f t="shared" si="30"/>
        <v>0.41</v>
      </c>
    </row>
    <row r="85" spans="1:16" ht="20" customHeight="1">
      <c r="A85" s="19" t="s">
        <v>30</v>
      </c>
      <c r="B85" s="596" t="s">
        <v>76</v>
      </c>
      <c r="C85" s="596"/>
      <c r="D85" s="596"/>
      <c r="E85" s="596"/>
      <c r="F85" s="596"/>
      <c r="G85" s="596"/>
      <c r="H85" s="596"/>
      <c r="I85" s="658"/>
      <c r="J85" s="24">
        <f>'Licitante - Mão de Obra'!J65</f>
        <v>2.7777777777777779E-3</v>
      </c>
      <c r="K85" s="94">
        <f t="shared" ref="K85:O85" si="31">ROUND(K80*$J$85,2)</f>
        <v>8.2200000000000006</v>
      </c>
      <c r="L85" s="94">
        <f t="shared" si="31"/>
        <v>7.55</v>
      </c>
      <c r="M85" s="94">
        <f t="shared" si="31"/>
        <v>8.2200000000000006</v>
      </c>
      <c r="N85" s="94">
        <f t="shared" si="31"/>
        <v>8.2200000000000006</v>
      </c>
      <c r="O85" s="94">
        <f t="shared" si="31"/>
        <v>8.2200000000000006</v>
      </c>
    </row>
    <row r="86" spans="1:16" ht="20" customHeight="1">
      <c r="A86" s="19" t="s">
        <v>49</v>
      </c>
      <c r="B86" s="596" t="s">
        <v>77</v>
      </c>
      <c r="C86" s="596"/>
      <c r="D86" s="596"/>
      <c r="E86" s="596"/>
      <c r="F86" s="596"/>
      <c r="G86" s="596"/>
      <c r="H86" s="596"/>
      <c r="I86" s="658"/>
      <c r="J86" s="24">
        <f>'Licitante - Mão de Obra'!J66</f>
        <v>6.6666666666666662E-3</v>
      </c>
      <c r="K86" s="94">
        <f t="shared" ref="K86:O86" si="32">ROUND(K80*$J$86,2)</f>
        <v>19.73</v>
      </c>
      <c r="L86" s="94">
        <f t="shared" si="32"/>
        <v>18.12</v>
      </c>
      <c r="M86" s="94">
        <f t="shared" si="32"/>
        <v>19.73</v>
      </c>
      <c r="N86" s="94">
        <f t="shared" si="32"/>
        <v>19.73</v>
      </c>
      <c r="O86" s="94">
        <f t="shared" si="32"/>
        <v>19.73</v>
      </c>
    </row>
    <row r="87" spans="1:16" ht="20" customHeight="1">
      <c r="A87" s="19" t="s">
        <v>51</v>
      </c>
      <c r="B87" s="596" t="s">
        <v>78</v>
      </c>
      <c r="C87" s="596"/>
      <c r="D87" s="596"/>
      <c r="E87" s="596"/>
      <c r="F87" s="596"/>
      <c r="G87" s="596"/>
      <c r="H87" s="596"/>
      <c r="I87" s="658"/>
      <c r="J87" s="24">
        <f>'Licitante - Mão de Obra'!J67</f>
        <v>8.3333333333333332E-3</v>
      </c>
      <c r="K87" s="94">
        <f t="shared" ref="K87:O87" si="33">ROUND(K80*$J$87,2)</f>
        <v>24.67</v>
      </c>
      <c r="L87" s="94">
        <f t="shared" si="33"/>
        <v>22.64</v>
      </c>
      <c r="M87" s="94">
        <f t="shared" si="33"/>
        <v>24.67</v>
      </c>
      <c r="N87" s="94">
        <f t="shared" si="33"/>
        <v>24.67</v>
      </c>
      <c r="O87" s="94">
        <f t="shared" si="33"/>
        <v>24.67</v>
      </c>
    </row>
    <row r="88" spans="1:16" ht="20" customHeight="1" thickBot="1">
      <c r="A88" s="95" t="s">
        <v>53</v>
      </c>
      <c r="B88" s="597" t="str">
        <f>'Licitante - Mão de Obra'!B68</f>
        <v>Outras Ausências (especificar)</v>
      </c>
      <c r="C88" s="597"/>
      <c r="D88" s="597"/>
      <c r="E88" s="597"/>
      <c r="F88" s="597"/>
      <c r="G88" s="597"/>
      <c r="H88" s="597"/>
      <c r="I88" s="598"/>
      <c r="J88" s="115">
        <f>'Licitante - Mão de Obra'!J68</f>
        <v>0</v>
      </c>
      <c r="K88" s="96">
        <f t="shared" ref="K88:O88" si="34">ROUND(K80*$J$88,2)</f>
        <v>0</v>
      </c>
      <c r="L88" s="96">
        <f t="shared" si="34"/>
        <v>0</v>
      </c>
      <c r="M88" s="96">
        <f t="shared" si="34"/>
        <v>0</v>
      </c>
      <c r="N88" s="96">
        <f t="shared" si="34"/>
        <v>0</v>
      </c>
      <c r="O88" s="96">
        <f t="shared" si="34"/>
        <v>0</v>
      </c>
    </row>
    <row r="89" spans="1:16" ht="20" customHeight="1" thickBot="1">
      <c r="A89" s="560" t="s">
        <v>80</v>
      </c>
      <c r="B89" s="561"/>
      <c r="C89" s="561"/>
      <c r="D89" s="561"/>
      <c r="E89" s="561"/>
      <c r="F89" s="561"/>
      <c r="G89" s="561"/>
      <c r="H89" s="561"/>
      <c r="I89" s="561"/>
      <c r="J89" s="561"/>
      <c r="K89" s="97">
        <f t="shared" ref="K89:O89" si="35">SUM(K82:K88)</f>
        <v>346.34034278955113</v>
      </c>
      <c r="L89" s="97">
        <f t="shared" si="35"/>
        <v>317.93394482705207</v>
      </c>
      <c r="M89" s="97">
        <f t="shared" si="35"/>
        <v>346.34034278955113</v>
      </c>
      <c r="N89" s="97">
        <f t="shared" si="35"/>
        <v>346.34034278955113</v>
      </c>
      <c r="O89" s="97">
        <f t="shared" si="35"/>
        <v>346.34034278955113</v>
      </c>
    </row>
    <row r="90" spans="1:16" ht="50" customHeight="1" thickBot="1">
      <c r="A90" s="752" t="s">
        <v>181</v>
      </c>
      <c r="B90" s="753"/>
      <c r="C90" s="753"/>
      <c r="D90" s="753"/>
      <c r="E90" s="753"/>
      <c r="F90" s="753"/>
      <c r="G90" s="753"/>
      <c r="H90" s="753"/>
      <c r="I90" s="753"/>
      <c r="J90" s="753"/>
      <c r="K90" s="741"/>
      <c r="P90" s="241"/>
    </row>
    <row r="91" spans="1:16" ht="20" hidden="1" customHeight="1" thickBot="1">
      <c r="A91" s="754" t="s">
        <v>81</v>
      </c>
      <c r="B91" s="755"/>
      <c r="C91" s="755"/>
      <c r="D91" s="755"/>
      <c r="E91" s="755"/>
      <c r="F91" s="755"/>
      <c r="G91" s="755"/>
      <c r="H91" s="755"/>
      <c r="I91" s="756"/>
      <c r="J91" s="99" t="s">
        <v>35</v>
      </c>
      <c r="K91" s="30" t="s">
        <v>26</v>
      </c>
      <c r="P91" s="241"/>
    </row>
    <row r="92" spans="1:16" ht="20" hidden="1" customHeight="1" thickBot="1">
      <c r="A92" s="98" t="s">
        <v>27</v>
      </c>
      <c r="B92" s="757" t="s">
        <v>82</v>
      </c>
      <c r="C92" s="758"/>
      <c r="D92" s="758"/>
      <c r="E92" s="758"/>
      <c r="F92" s="758"/>
      <c r="G92" s="758"/>
      <c r="H92" s="758"/>
      <c r="I92" s="759"/>
      <c r="J92" s="100">
        <v>0</v>
      </c>
      <c r="K92" s="102">
        <f>J92*$K$29</f>
        <v>0</v>
      </c>
      <c r="P92" s="241"/>
    </row>
    <row r="93" spans="1:16" ht="20" hidden="1" customHeight="1" thickBot="1">
      <c r="A93" s="560" t="s">
        <v>83</v>
      </c>
      <c r="B93" s="561"/>
      <c r="C93" s="561"/>
      <c r="D93" s="561"/>
      <c r="E93" s="561"/>
      <c r="F93" s="561"/>
      <c r="G93" s="561"/>
      <c r="H93" s="561"/>
      <c r="I93" s="760"/>
      <c r="J93" s="101">
        <v>0</v>
      </c>
      <c r="K93" s="103">
        <f>J93*$K$29</f>
        <v>0</v>
      </c>
      <c r="P93" s="241"/>
    </row>
    <row r="94" spans="1:16" ht="20" hidden="1" customHeight="1" thickBot="1">
      <c r="A94" s="675"/>
      <c r="B94" s="676"/>
      <c r="C94" s="676"/>
      <c r="D94" s="676"/>
      <c r="E94" s="676"/>
      <c r="F94" s="676"/>
      <c r="G94" s="676"/>
      <c r="H94" s="676"/>
      <c r="I94" s="676"/>
      <c r="J94" s="676"/>
      <c r="K94" s="676"/>
      <c r="P94" s="241"/>
    </row>
    <row r="95" spans="1:16" ht="20" customHeight="1" thickBot="1">
      <c r="A95" s="457" t="s">
        <v>84</v>
      </c>
      <c r="B95" s="458"/>
      <c r="C95" s="458"/>
      <c r="D95" s="458"/>
      <c r="E95" s="458"/>
      <c r="F95" s="458"/>
      <c r="G95" s="458"/>
      <c r="H95" s="458"/>
      <c r="I95" s="458"/>
      <c r="J95" s="459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62"/>
    </row>
    <row r="96" spans="1:16" ht="20" customHeight="1" thickBot="1">
      <c r="A96" s="16" t="s">
        <v>115</v>
      </c>
      <c r="B96" s="672" t="s">
        <v>85</v>
      </c>
      <c r="C96" s="673"/>
      <c r="D96" s="673"/>
      <c r="E96" s="673"/>
      <c r="F96" s="673"/>
      <c r="G96" s="673"/>
      <c r="H96" s="673"/>
      <c r="I96" s="673"/>
      <c r="J96" s="674"/>
      <c r="K96" s="45">
        <f t="shared" ref="K96:O96" si="36">K89</f>
        <v>346.34034278955113</v>
      </c>
      <c r="L96" s="45">
        <f t="shared" si="36"/>
        <v>317.93394482705207</v>
      </c>
      <c r="M96" s="45">
        <f t="shared" si="36"/>
        <v>346.34034278955113</v>
      </c>
      <c r="N96" s="45">
        <f t="shared" si="36"/>
        <v>346.34034278955113</v>
      </c>
      <c r="O96" s="45">
        <f t="shared" si="36"/>
        <v>346.34034278955113</v>
      </c>
      <c r="P96" s="263"/>
    </row>
    <row r="97" spans="1:16" ht="20" customHeight="1" thickBot="1">
      <c r="A97" s="16" t="s">
        <v>182</v>
      </c>
      <c r="B97" s="672" t="s">
        <v>86</v>
      </c>
      <c r="C97" s="673"/>
      <c r="D97" s="673"/>
      <c r="E97" s="673"/>
      <c r="F97" s="673"/>
      <c r="G97" s="673"/>
      <c r="H97" s="673"/>
      <c r="I97" s="673"/>
      <c r="J97" s="674"/>
      <c r="K97" s="47">
        <f t="shared" ref="K97:O97" si="37">K93</f>
        <v>0</v>
      </c>
      <c r="L97" s="47">
        <f t="shared" si="37"/>
        <v>0</v>
      </c>
      <c r="M97" s="47">
        <f t="shared" si="37"/>
        <v>0</v>
      </c>
      <c r="N97" s="47">
        <f t="shared" si="37"/>
        <v>0</v>
      </c>
      <c r="O97" s="47">
        <f t="shared" si="37"/>
        <v>0</v>
      </c>
      <c r="P97" s="263"/>
    </row>
    <row r="98" spans="1:16" ht="20" customHeight="1" thickBot="1">
      <c r="A98" s="489" t="s">
        <v>87</v>
      </c>
      <c r="B98" s="490"/>
      <c r="C98" s="490"/>
      <c r="D98" s="490"/>
      <c r="E98" s="490"/>
      <c r="F98" s="490"/>
      <c r="G98" s="490"/>
      <c r="H98" s="490"/>
      <c r="I98" s="490"/>
      <c r="J98" s="668"/>
      <c r="K98" s="48">
        <f t="shared" ref="K98:O98" si="38">SUM(K96:K97)</f>
        <v>346.34034278955113</v>
      </c>
      <c r="L98" s="48">
        <f t="shared" si="38"/>
        <v>317.93394482705207</v>
      </c>
      <c r="M98" s="48">
        <f t="shared" si="38"/>
        <v>346.34034278955113</v>
      </c>
      <c r="N98" s="48">
        <f t="shared" si="38"/>
        <v>346.34034278955113</v>
      </c>
      <c r="O98" s="48">
        <f t="shared" si="38"/>
        <v>346.34034278955113</v>
      </c>
      <c r="P98" s="264"/>
    </row>
    <row r="99" spans="1:16" ht="15" thickBot="1">
      <c r="A99" s="286"/>
      <c r="B99" s="286"/>
      <c r="C99" s="286"/>
      <c r="D99" s="286"/>
      <c r="E99" s="286"/>
      <c r="F99" s="286"/>
      <c r="G99" s="286"/>
      <c r="H99" s="286"/>
      <c r="I99" s="286"/>
      <c r="J99" s="286"/>
      <c r="K99" s="266" t="s">
        <v>331</v>
      </c>
      <c r="L99" s="266" t="s">
        <v>332</v>
      </c>
      <c r="M99" s="266" t="s">
        <v>333</v>
      </c>
      <c r="N99" s="266" t="s">
        <v>334</v>
      </c>
      <c r="O99" s="266" t="s">
        <v>335</v>
      </c>
      <c r="P99" s="241"/>
    </row>
    <row r="100" spans="1:16" s="9" customFormat="1" ht="20" customHeight="1" thickBot="1">
      <c r="A100" s="409" t="s">
        <v>88</v>
      </c>
      <c r="B100" s="427"/>
      <c r="C100" s="427"/>
      <c r="D100" s="427"/>
      <c r="E100" s="427"/>
      <c r="F100" s="427"/>
      <c r="G100" s="427"/>
      <c r="H100" s="427"/>
      <c r="I100" s="427"/>
      <c r="J100" s="427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41"/>
    </row>
    <row r="101" spans="1:16" ht="20" customHeight="1">
      <c r="A101" s="16" t="s">
        <v>27</v>
      </c>
      <c r="B101" s="594" t="s">
        <v>89</v>
      </c>
      <c r="C101" s="594"/>
      <c r="D101" s="594"/>
      <c r="E101" s="594"/>
      <c r="F101" s="594"/>
      <c r="G101" s="594"/>
      <c r="H101" s="594"/>
      <c r="I101" s="594"/>
      <c r="J101" s="595"/>
      <c r="K101" s="193">
        <f>'Licitante - Mão de Obra'!$J$85</f>
        <v>143.61000000000001</v>
      </c>
      <c r="L101" s="193">
        <f>'Licitante - Mão de Obra'!$J$85</f>
        <v>143.61000000000001</v>
      </c>
      <c r="M101" s="193">
        <f>'Licitante - Mão de Obra'!$J$85</f>
        <v>143.61000000000001</v>
      </c>
      <c r="N101" s="193">
        <f>'Licitante - Mão de Obra'!$J$85</f>
        <v>143.61000000000001</v>
      </c>
      <c r="O101" s="193">
        <f>'Licitante - Mão de Obra'!$J$85</f>
        <v>143.61000000000001</v>
      </c>
    </row>
    <row r="102" spans="1:16" ht="20" customHeight="1">
      <c r="A102" s="14" t="s">
        <v>37</v>
      </c>
      <c r="B102" s="596" t="s">
        <v>90</v>
      </c>
      <c r="C102" s="596"/>
      <c r="D102" s="596"/>
      <c r="E102" s="596"/>
      <c r="F102" s="596"/>
      <c r="G102" s="596"/>
      <c r="H102" s="596"/>
      <c r="I102" s="596"/>
      <c r="J102" s="658"/>
      <c r="K102" s="121">
        <f>'Licitante - Mão de Obra'!I110</f>
        <v>196.9987777777778</v>
      </c>
      <c r="L102" s="121">
        <f>'Licitante - Mão de Obra'!K110</f>
        <v>79.875444444444426</v>
      </c>
      <c r="M102" s="121">
        <f>'Licitante - Mão de Obra'!M110</f>
        <v>88.454055555555541</v>
      </c>
      <c r="N102" s="121">
        <f>'Licitante - Mão de Obra'!O110</f>
        <v>182.77683333333331</v>
      </c>
      <c r="O102" s="121">
        <f>'Licitante - Mão de Obra'!Q110</f>
        <v>83.996555555555545</v>
      </c>
    </row>
    <row r="103" spans="1:16" ht="20" customHeight="1" thickBot="1">
      <c r="A103" s="22" t="s">
        <v>44</v>
      </c>
      <c r="B103" s="597" t="s">
        <v>91</v>
      </c>
      <c r="C103" s="597"/>
      <c r="D103" s="597"/>
      <c r="E103" s="597"/>
      <c r="F103" s="597"/>
      <c r="G103" s="597"/>
      <c r="H103" s="597"/>
      <c r="I103" s="597"/>
      <c r="J103" s="598"/>
      <c r="K103" s="194"/>
      <c r="L103" s="194"/>
      <c r="M103" s="194"/>
      <c r="N103" s="194"/>
      <c r="O103" s="194"/>
    </row>
    <row r="104" spans="1:16" ht="20" customHeight="1" thickBot="1">
      <c r="A104" s="489" t="s">
        <v>92</v>
      </c>
      <c r="B104" s="490"/>
      <c r="C104" s="490"/>
      <c r="D104" s="490"/>
      <c r="E104" s="490"/>
      <c r="F104" s="490"/>
      <c r="G104" s="490"/>
      <c r="H104" s="490"/>
      <c r="I104" s="490"/>
      <c r="J104" s="491"/>
      <c r="K104" s="130">
        <f t="shared" ref="K104:O104" si="39">SUM(K101:K103)</f>
        <v>340.60877777777785</v>
      </c>
      <c r="L104" s="130">
        <f t="shared" si="39"/>
        <v>223.48544444444445</v>
      </c>
      <c r="M104" s="130">
        <f t="shared" si="39"/>
        <v>232.06405555555557</v>
      </c>
      <c r="N104" s="130">
        <f t="shared" si="39"/>
        <v>326.38683333333336</v>
      </c>
      <c r="O104" s="130">
        <f t="shared" si="39"/>
        <v>227.60655555555556</v>
      </c>
    </row>
    <row r="105" spans="1:16" ht="15" thickBot="1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6"/>
    </row>
    <row r="106" spans="1:16" ht="20" customHeight="1" thickBot="1">
      <c r="A106" s="409" t="s">
        <v>93</v>
      </c>
      <c r="B106" s="427"/>
      <c r="C106" s="427"/>
      <c r="D106" s="427"/>
      <c r="E106" s="427"/>
      <c r="F106" s="427"/>
      <c r="G106" s="427"/>
      <c r="H106" s="427"/>
      <c r="I106" s="427"/>
      <c r="J106" s="427"/>
      <c r="K106" s="428"/>
    </row>
    <row r="107" spans="1:16" s="9" customFormat="1" ht="20" customHeight="1" thickBot="1">
      <c r="A107" s="767"/>
      <c r="B107" s="768"/>
      <c r="C107" s="768"/>
      <c r="D107" s="768"/>
      <c r="E107" s="768"/>
      <c r="F107" s="768"/>
      <c r="G107" s="768"/>
      <c r="H107" s="768"/>
      <c r="I107" s="769"/>
      <c r="J107" s="123" t="s">
        <v>35</v>
      </c>
      <c r="K107" s="164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</row>
    <row r="108" spans="1:16" ht="20" customHeight="1">
      <c r="A108" s="116" t="s">
        <v>27</v>
      </c>
      <c r="B108" s="596" t="s">
        <v>94</v>
      </c>
      <c r="C108" s="596"/>
      <c r="D108" s="596"/>
      <c r="E108" s="596"/>
      <c r="F108" s="596"/>
      <c r="G108" s="596"/>
      <c r="H108" s="596"/>
      <c r="I108" s="596"/>
      <c r="J108" s="92">
        <f>'Licitante - Mão de Obra'!J113</f>
        <v>0.05</v>
      </c>
      <c r="K108" s="121">
        <f t="shared" ref="K108:O108" si="40">ROUND($J$108*K124,2)</f>
        <v>209.48</v>
      </c>
      <c r="L108" s="121">
        <f t="shared" si="40"/>
        <v>175.65</v>
      </c>
      <c r="M108" s="193">
        <f t="shared" si="40"/>
        <v>204.05</v>
      </c>
      <c r="N108" s="193">
        <f t="shared" si="40"/>
        <v>208.33</v>
      </c>
      <c r="O108" s="193">
        <f t="shared" si="40"/>
        <v>207.13</v>
      </c>
    </row>
    <row r="109" spans="1:16" ht="20" customHeight="1">
      <c r="A109" s="116" t="s">
        <v>37</v>
      </c>
      <c r="B109" s="596" t="s">
        <v>95</v>
      </c>
      <c r="C109" s="596"/>
      <c r="D109" s="596"/>
      <c r="E109" s="596"/>
      <c r="F109" s="596"/>
      <c r="G109" s="596"/>
      <c r="H109" s="596"/>
      <c r="I109" s="596"/>
      <c r="J109" s="92">
        <f>'Licitante - Mão de Obra'!J114</f>
        <v>0.05</v>
      </c>
      <c r="K109" s="121">
        <f t="shared" ref="K109:O109" si="41">ROUND((K124+K108)*$J$109,2)</f>
        <v>219.95</v>
      </c>
      <c r="L109" s="121">
        <f t="shared" si="41"/>
        <v>184.44</v>
      </c>
      <c r="M109" s="121">
        <f t="shared" si="41"/>
        <v>214.25</v>
      </c>
      <c r="N109" s="121">
        <f t="shared" si="41"/>
        <v>218.74</v>
      </c>
      <c r="O109" s="121">
        <f t="shared" si="41"/>
        <v>217.49</v>
      </c>
    </row>
    <row r="110" spans="1:16" ht="20" customHeight="1">
      <c r="A110" s="116" t="s">
        <v>44</v>
      </c>
      <c r="B110" s="420" t="s">
        <v>183</v>
      </c>
      <c r="C110" s="421"/>
      <c r="D110" s="421"/>
      <c r="E110" s="421"/>
      <c r="F110" s="421"/>
      <c r="G110" s="421"/>
      <c r="H110" s="421"/>
      <c r="I110" s="421"/>
      <c r="J110" s="421"/>
      <c r="K110" s="121"/>
      <c r="L110" s="121"/>
      <c r="M110" s="121"/>
      <c r="N110" s="121"/>
      <c r="O110" s="121"/>
    </row>
    <row r="111" spans="1:16" ht="20" customHeight="1">
      <c r="A111" s="117"/>
      <c r="B111" s="43" t="s">
        <v>98</v>
      </c>
      <c r="C111" s="486" t="s">
        <v>99</v>
      </c>
      <c r="D111" s="486"/>
      <c r="E111" s="486"/>
      <c r="F111" s="486"/>
      <c r="G111" s="486"/>
      <c r="H111" s="486"/>
      <c r="I111" s="486"/>
      <c r="J111" s="92">
        <f>'Licitante - Mão de Obra'!F116</f>
        <v>1.6500000000000001E-2</v>
      </c>
      <c r="K111" s="121">
        <f t="shared" ref="K111:O111" si="42">ROUND((K124+K108+K109)*$J$111,2)</f>
        <v>76.209999999999994</v>
      </c>
      <c r="L111" s="121">
        <f t="shared" si="42"/>
        <v>63.91</v>
      </c>
      <c r="M111" s="121">
        <f t="shared" si="42"/>
        <v>74.239999999999995</v>
      </c>
      <c r="N111" s="121">
        <f t="shared" si="42"/>
        <v>75.790000000000006</v>
      </c>
      <c r="O111" s="121">
        <f t="shared" si="42"/>
        <v>75.36</v>
      </c>
    </row>
    <row r="112" spans="1:16" s="9" customFormat="1" ht="20" customHeight="1">
      <c r="A112" s="118"/>
      <c r="B112" s="119" t="s">
        <v>100</v>
      </c>
      <c r="C112" s="301" t="s">
        <v>101</v>
      </c>
      <c r="D112" s="290"/>
      <c r="E112" s="290"/>
      <c r="F112" s="290"/>
      <c r="G112" s="290"/>
      <c r="H112" s="290"/>
      <c r="I112" s="290"/>
      <c r="J112" s="92">
        <f>'Licitante - Mão de Obra'!F117</f>
        <v>7.5999999999999998E-2</v>
      </c>
      <c r="K112" s="121">
        <f t="shared" ref="K112:O112" si="43">ROUND((K124+K108+K109)*$J$112,2)</f>
        <v>351.04</v>
      </c>
      <c r="L112" s="121">
        <f t="shared" si="43"/>
        <v>294.36</v>
      </c>
      <c r="M112" s="121">
        <f t="shared" si="43"/>
        <v>341.95</v>
      </c>
      <c r="N112" s="121">
        <f t="shared" si="43"/>
        <v>349.12</v>
      </c>
      <c r="O112" s="121">
        <f t="shared" si="43"/>
        <v>347.11</v>
      </c>
    </row>
    <row r="113" spans="1:15" ht="20" customHeight="1">
      <c r="A113" s="659" t="s">
        <v>296</v>
      </c>
      <c r="B113" s="660"/>
      <c r="C113" s="661"/>
      <c r="D113" s="664" t="s">
        <v>300</v>
      </c>
      <c r="E113" s="665"/>
      <c r="F113" s="300" t="s">
        <v>310</v>
      </c>
      <c r="G113" s="300" t="s">
        <v>311</v>
      </c>
      <c r="H113" s="300" t="s">
        <v>303</v>
      </c>
      <c r="I113" s="300" t="s">
        <v>312</v>
      </c>
    </row>
    <row r="114" spans="1:15" s="9" customFormat="1" ht="20" customHeight="1" thickBot="1">
      <c r="A114" s="302"/>
      <c r="B114" s="303" t="s">
        <v>102</v>
      </c>
      <c r="C114" s="291" t="s">
        <v>295</v>
      </c>
      <c r="D114" s="666">
        <f>'Licitante - Mão de Obra'!F118</f>
        <v>0.02</v>
      </c>
      <c r="E114" s="521"/>
      <c r="F114" s="299">
        <f>'Licitante - Mão de Obra'!F119</f>
        <v>2.5000000000000001E-2</v>
      </c>
      <c r="G114" s="299">
        <f>'Licitante - Mão de Obra'!F120</f>
        <v>0.05</v>
      </c>
      <c r="H114" s="299">
        <f>'Licitante - Mão de Obra'!F121</f>
        <v>0.04</v>
      </c>
      <c r="I114" s="299">
        <f>'Licitante - Mão de Obra'!F122</f>
        <v>0.03</v>
      </c>
      <c r="J114" s="120"/>
      <c r="K114" s="121">
        <f>ROUND((K124+K108+K109)*'Licitante - Mão de Obra'!F118,2)</f>
        <v>92.38</v>
      </c>
      <c r="L114" s="121">
        <f>ROUND((L124+L108+L109)*'Licitante - Mão de Obra'!F119,2)</f>
        <v>96.83</v>
      </c>
      <c r="M114" s="121">
        <f>ROUND((M124+M108+M109)*'Licitante - Mão de Obra'!F120,2)</f>
        <v>224.97</v>
      </c>
      <c r="N114" s="121">
        <f>ROUND((N124+N108+N109)*'Licitante - Mão de Obra'!F121,2)</f>
        <v>183.74</v>
      </c>
      <c r="O114" s="121">
        <f>ROUND((O124+O108+O109)*'Licitante - Mão de Obra'!F122,2)</f>
        <v>137.02000000000001</v>
      </c>
    </row>
    <row r="115" spans="1:15" ht="20" customHeight="1" thickBot="1">
      <c r="A115" s="770" t="s">
        <v>104</v>
      </c>
      <c r="B115" s="771"/>
      <c r="C115" s="771"/>
      <c r="D115" s="772"/>
      <c r="E115" s="772"/>
      <c r="F115" s="772"/>
      <c r="G115" s="772"/>
      <c r="H115" s="772"/>
      <c r="I115" s="772"/>
      <c r="J115" s="773"/>
      <c r="K115" s="130">
        <f t="shared" ref="K115:O115" si="44">SUM(K108,K109,K111,K112,K114)</f>
        <v>949.06</v>
      </c>
      <c r="L115" s="130">
        <f t="shared" si="44"/>
        <v>815.19</v>
      </c>
      <c r="M115" s="130">
        <f t="shared" si="44"/>
        <v>1059.46</v>
      </c>
      <c r="N115" s="130">
        <f t="shared" si="44"/>
        <v>1035.72</v>
      </c>
      <c r="O115" s="130">
        <f t="shared" si="44"/>
        <v>984.11</v>
      </c>
    </row>
    <row r="116" spans="1:15" ht="20" customHeight="1" thickBot="1">
      <c r="A116" s="774"/>
      <c r="B116" s="774"/>
      <c r="C116" s="774"/>
      <c r="D116" s="774"/>
      <c r="E116" s="774"/>
      <c r="F116" s="774"/>
      <c r="G116" s="774"/>
      <c r="H116" s="774"/>
      <c r="I116" s="774"/>
      <c r="J116" s="774"/>
      <c r="K116" s="56"/>
    </row>
    <row r="117" spans="1:15" s="129" customFormat="1" ht="20" customHeight="1" thickBot="1">
      <c r="A117" s="635" t="s">
        <v>105</v>
      </c>
      <c r="B117" s="636"/>
      <c r="C117" s="636"/>
      <c r="D117" s="636"/>
      <c r="E117" s="636"/>
      <c r="F117" s="636"/>
      <c r="G117" s="636"/>
      <c r="H117" s="636"/>
      <c r="I117" s="636"/>
      <c r="J117" s="636"/>
      <c r="K117" s="266" t="s">
        <v>331</v>
      </c>
      <c r="L117" s="266" t="s">
        <v>332</v>
      </c>
      <c r="M117" s="266" t="s">
        <v>333</v>
      </c>
      <c r="N117" s="266" t="s">
        <v>334</v>
      </c>
      <c r="O117" s="266" t="s">
        <v>335</v>
      </c>
    </row>
    <row r="118" spans="1:15" s="129" customFormat="1" ht="20" customHeight="1" thickBot="1">
      <c r="A118" s="688" t="s">
        <v>106</v>
      </c>
      <c r="B118" s="689"/>
      <c r="C118" s="689"/>
      <c r="D118" s="689"/>
      <c r="E118" s="689"/>
      <c r="F118" s="689"/>
      <c r="G118" s="689"/>
      <c r="H118" s="689"/>
      <c r="I118" s="689"/>
      <c r="J118" s="690"/>
      <c r="K118" s="185" t="s">
        <v>26</v>
      </c>
      <c r="L118" s="185" t="s">
        <v>26</v>
      </c>
      <c r="M118" s="185" t="s">
        <v>26</v>
      </c>
      <c r="N118" s="185" t="s">
        <v>26</v>
      </c>
      <c r="O118" s="185" t="s">
        <v>26</v>
      </c>
    </row>
    <row r="119" spans="1:15" s="129" customFormat="1" ht="20" customHeight="1">
      <c r="A119" s="761" t="s">
        <v>107</v>
      </c>
      <c r="B119" s="762"/>
      <c r="C119" s="762"/>
      <c r="D119" s="762"/>
      <c r="E119" s="762"/>
      <c r="F119" s="762"/>
      <c r="G119" s="762"/>
      <c r="H119" s="762"/>
      <c r="I119" s="762"/>
      <c r="J119" s="763"/>
      <c r="K119" s="186">
        <f>K29</f>
        <v>1729.04</v>
      </c>
      <c r="L119" s="186">
        <f t="shared" ref="L119:O119" si="45">L29</f>
        <v>1590</v>
      </c>
      <c r="M119" s="186">
        <f t="shared" si="45"/>
        <v>1729.04</v>
      </c>
      <c r="N119" s="186">
        <f t="shared" si="45"/>
        <v>1729.04</v>
      </c>
      <c r="O119" s="186">
        <f t="shared" si="45"/>
        <v>1729.04</v>
      </c>
    </row>
    <row r="120" spans="1:15" s="129" customFormat="1" ht="20" customHeight="1">
      <c r="A120" s="663" t="s">
        <v>108</v>
      </c>
      <c r="B120" s="648"/>
      <c r="C120" s="648"/>
      <c r="D120" s="648"/>
      <c r="E120" s="648"/>
      <c r="F120" s="648"/>
      <c r="G120" s="648"/>
      <c r="H120" s="648"/>
      <c r="I120" s="648"/>
      <c r="J120" s="649"/>
      <c r="K120" s="124">
        <f t="shared" ref="K120:O120" si="46">K65</f>
        <v>1651.9301120133334</v>
      </c>
      <c r="L120" s="124">
        <f t="shared" si="46"/>
        <v>1269.7824049999999</v>
      </c>
      <c r="M120" s="124">
        <f t="shared" si="46"/>
        <v>1651.9301120133334</v>
      </c>
      <c r="N120" s="124">
        <f t="shared" si="46"/>
        <v>1643.1301120133335</v>
      </c>
      <c r="O120" s="124">
        <f t="shared" si="46"/>
        <v>1717.9301120133334</v>
      </c>
    </row>
    <row r="121" spans="1:15" s="129" customFormat="1" ht="20" customHeight="1">
      <c r="A121" s="663" t="s">
        <v>109</v>
      </c>
      <c r="B121" s="648"/>
      <c r="C121" s="648"/>
      <c r="D121" s="648"/>
      <c r="E121" s="648"/>
      <c r="F121" s="648"/>
      <c r="G121" s="648"/>
      <c r="H121" s="648"/>
      <c r="I121" s="648"/>
      <c r="J121" s="649"/>
      <c r="K121" s="124">
        <f t="shared" ref="K121:O121" si="47">K74</f>
        <v>121.65405095692594</v>
      </c>
      <c r="L121" s="124">
        <f t="shared" si="47"/>
        <v>111.87643606944445</v>
      </c>
      <c r="M121" s="124">
        <f t="shared" si="47"/>
        <v>121.65405095692594</v>
      </c>
      <c r="N121" s="124">
        <f t="shared" si="47"/>
        <v>121.65405095692594</v>
      </c>
      <c r="O121" s="124">
        <f t="shared" si="47"/>
        <v>121.65405095692594</v>
      </c>
    </row>
    <row r="122" spans="1:15" s="129" customFormat="1" ht="20" customHeight="1">
      <c r="A122" s="663" t="s">
        <v>110</v>
      </c>
      <c r="B122" s="648"/>
      <c r="C122" s="648"/>
      <c r="D122" s="648"/>
      <c r="E122" s="648"/>
      <c r="F122" s="648"/>
      <c r="G122" s="648"/>
      <c r="H122" s="648"/>
      <c r="I122" s="648"/>
      <c r="J122" s="649"/>
      <c r="K122" s="124">
        <f t="shared" ref="K122:O122" si="48">K98</f>
        <v>346.34034278955113</v>
      </c>
      <c r="L122" s="124">
        <f t="shared" si="48"/>
        <v>317.93394482705207</v>
      </c>
      <c r="M122" s="124">
        <f t="shared" si="48"/>
        <v>346.34034278955113</v>
      </c>
      <c r="N122" s="124">
        <f t="shared" si="48"/>
        <v>346.34034278955113</v>
      </c>
      <c r="O122" s="124">
        <f t="shared" si="48"/>
        <v>346.34034278955113</v>
      </c>
    </row>
    <row r="123" spans="1:15" s="129" customFormat="1" ht="20" customHeight="1" thickBot="1">
      <c r="A123" s="791" t="s">
        <v>111</v>
      </c>
      <c r="B123" s="792"/>
      <c r="C123" s="792"/>
      <c r="D123" s="792"/>
      <c r="E123" s="792"/>
      <c r="F123" s="792"/>
      <c r="G123" s="792"/>
      <c r="H123" s="792"/>
      <c r="I123" s="792"/>
      <c r="J123" s="652"/>
      <c r="K123" s="125">
        <f t="shared" ref="K123:O123" si="49">K104</f>
        <v>340.60877777777785</v>
      </c>
      <c r="L123" s="125">
        <f t="shared" si="49"/>
        <v>223.48544444444445</v>
      </c>
      <c r="M123" s="125">
        <f t="shared" si="49"/>
        <v>232.06405555555557</v>
      </c>
      <c r="N123" s="125">
        <f t="shared" si="49"/>
        <v>326.38683333333336</v>
      </c>
      <c r="O123" s="125">
        <f t="shared" si="49"/>
        <v>227.60655555555556</v>
      </c>
    </row>
    <row r="124" spans="1:15" s="129" customFormat="1" ht="20" customHeight="1" thickBot="1">
      <c r="A124" s="669" t="s">
        <v>184</v>
      </c>
      <c r="B124" s="670"/>
      <c r="C124" s="670"/>
      <c r="D124" s="670"/>
      <c r="E124" s="670"/>
      <c r="F124" s="670"/>
      <c r="G124" s="670"/>
      <c r="H124" s="670"/>
      <c r="I124" s="670"/>
      <c r="J124" s="671"/>
      <c r="K124" s="126">
        <f t="shared" ref="K124:O124" si="50">SUM(K119:K123)</f>
        <v>4189.5732835375875</v>
      </c>
      <c r="L124" s="126">
        <f t="shared" si="50"/>
        <v>3513.078230340941</v>
      </c>
      <c r="M124" s="126">
        <f t="shared" si="50"/>
        <v>4081.0285613153656</v>
      </c>
      <c r="N124" s="126">
        <f t="shared" si="50"/>
        <v>4166.5513390931437</v>
      </c>
      <c r="O124" s="126">
        <f t="shared" si="50"/>
        <v>4142.5710613153651</v>
      </c>
    </row>
    <row r="125" spans="1:15" s="129" customFormat="1" ht="20" customHeight="1" thickBot="1">
      <c r="A125" s="775" t="s">
        <v>112</v>
      </c>
      <c r="B125" s="776"/>
      <c r="C125" s="776"/>
      <c r="D125" s="776"/>
      <c r="E125" s="776"/>
      <c r="F125" s="776"/>
      <c r="G125" s="776"/>
      <c r="H125" s="776"/>
      <c r="I125" s="776"/>
      <c r="J125" s="777"/>
      <c r="K125" s="102">
        <f t="shared" ref="K125:O125" si="51">K115</f>
        <v>949.06</v>
      </c>
      <c r="L125" s="102">
        <f t="shared" si="51"/>
        <v>815.19</v>
      </c>
      <c r="M125" s="102">
        <f t="shared" si="51"/>
        <v>1059.46</v>
      </c>
      <c r="N125" s="102">
        <f t="shared" si="51"/>
        <v>1035.72</v>
      </c>
      <c r="O125" s="102">
        <f t="shared" si="51"/>
        <v>984.11</v>
      </c>
    </row>
    <row r="126" spans="1:15" s="129" customFormat="1" ht="20" customHeight="1">
      <c r="A126" s="764" t="s">
        <v>211</v>
      </c>
      <c r="B126" s="765"/>
      <c r="C126" s="765"/>
      <c r="D126" s="765"/>
      <c r="E126" s="765"/>
      <c r="F126" s="765"/>
      <c r="G126" s="765"/>
      <c r="H126" s="765"/>
      <c r="I126" s="765"/>
      <c r="J126" s="766"/>
      <c r="K126" s="265">
        <f t="shared" ref="K126:O126" si="52">K124+K125</f>
        <v>5138.633283537587</v>
      </c>
      <c r="L126" s="265">
        <f t="shared" si="52"/>
        <v>4328.268230340941</v>
      </c>
      <c r="M126" s="265">
        <f t="shared" si="52"/>
        <v>5140.4885613153656</v>
      </c>
      <c r="N126" s="265">
        <f t="shared" si="52"/>
        <v>5202.271339093144</v>
      </c>
      <c r="O126" s="265">
        <f t="shared" si="52"/>
        <v>5126.6810613153648</v>
      </c>
    </row>
    <row r="127" spans="1:15" s="129" customFormat="1" ht="20" customHeight="1" thickBot="1">
      <c r="A127" s="650" t="s">
        <v>289</v>
      </c>
      <c r="B127" s="651"/>
      <c r="C127" s="651"/>
      <c r="D127" s="651"/>
      <c r="E127" s="651"/>
      <c r="F127" s="651"/>
      <c r="G127" s="651"/>
      <c r="H127" s="651"/>
      <c r="I127" s="651"/>
      <c r="J127" s="651"/>
      <c r="K127" s="267">
        <v>1</v>
      </c>
      <c r="L127" s="267">
        <v>1</v>
      </c>
      <c r="M127" s="267">
        <v>1</v>
      </c>
      <c r="N127" s="267">
        <v>1</v>
      </c>
      <c r="O127" s="267">
        <v>1</v>
      </c>
    </row>
    <row r="128" spans="1:15" s="129" customFormat="1" ht="20" customHeight="1" thickBot="1">
      <c r="A128" s="633" t="s">
        <v>290</v>
      </c>
      <c r="B128" s="634"/>
      <c r="C128" s="634"/>
      <c r="D128" s="634"/>
      <c r="E128" s="634"/>
      <c r="F128" s="634"/>
      <c r="G128" s="634"/>
      <c r="H128" s="634"/>
      <c r="I128" s="634"/>
      <c r="J128" s="634"/>
      <c r="K128" s="268">
        <f>K126*K127</f>
        <v>5138.633283537587</v>
      </c>
      <c r="L128" s="268">
        <f t="shared" ref="L128:O128" si="53">L126*L127</f>
        <v>4328.268230340941</v>
      </c>
      <c r="M128" s="268">
        <f t="shared" si="53"/>
        <v>5140.4885613153656</v>
      </c>
      <c r="N128" s="268">
        <f t="shared" si="53"/>
        <v>5202.271339093144</v>
      </c>
      <c r="O128" s="268">
        <f t="shared" si="53"/>
        <v>5126.6810613153648</v>
      </c>
    </row>
    <row r="129" spans="1:15" s="129" customFormat="1" ht="20" customHeight="1" thickBot="1">
      <c r="A129" s="637" t="s">
        <v>291</v>
      </c>
      <c r="B129" s="638"/>
      <c r="C129" s="638"/>
      <c r="D129" s="638"/>
      <c r="E129" s="638"/>
      <c r="F129" s="638"/>
      <c r="G129" s="638"/>
      <c r="H129" s="638"/>
      <c r="I129" s="638"/>
      <c r="J129" s="638"/>
      <c r="K129" s="280">
        <f>SUM(K128:O128)</f>
        <v>24936.342475602403</v>
      </c>
      <c r="L129" s="277"/>
      <c r="M129" s="277"/>
      <c r="N129" s="277"/>
      <c r="O129" s="277"/>
    </row>
    <row r="130" spans="1:15" s="129" customFormat="1" ht="20" customHeight="1">
      <c r="A130" s="276"/>
      <c r="B130" s="276"/>
      <c r="C130" s="276"/>
      <c r="D130" s="276"/>
      <c r="E130" s="276"/>
      <c r="F130" s="276"/>
      <c r="G130" s="276"/>
      <c r="H130" s="276"/>
      <c r="I130" s="276"/>
      <c r="J130" s="276"/>
      <c r="K130" s="277"/>
      <c r="L130" s="277"/>
      <c r="M130" s="277"/>
      <c r="N130" s="277"/>
      <c r="O130" s="277"/>
    </row>
    <row r="131" spans="1:15" s="129" customFormat="1" ht="20" customHeight="1">
      <c r="A131" s="276"/>
      <c r="B131" s="276"/>
      <c r="C131" s="276"/>
      <c r="D131" s="276"/>
      <c r="E131" s="276"/>
      <c r="F131" s="276"/>
      <c r="G131" s="276"/>
      <c r="H131" s="276"/>
      <c r="I131" s="276"/>
      <c r="J131" s="276"/>
      <c r="K131" s="277"/>
      <c r="L131" s="277"/>
      <c r="M131" s="277"/>
      <c r="N131" s="277"/>
      <c r="O131" s="277"/>
    </row>
    <row r="132" spans="1:15" s="129" customFormat="1" ht="20" customHeight="1">
      <c r="A132" s="276"/>
      <c r="B132" s="276"/>
      <c r="C132" s="276"/>
      <c r="D132" s="276"/>
      <c r="E132" s="276"/>
      <c r="F132" s="276"/>
      <c r="G132" s="276"/>
      <c r="H132" s="276"/>
      <c r="I132" s="276"/>
      <c r="J132" s="276"/>
      <c r="K132" s="277"/>
      <c r="L132" s="277"/>
      <c r="M132" s="277"/>
      <c r="N132" s="277"/>
      <c r="O132" s="277"/>
    </row>
    <row r="134" spans="1:15" s="129" customFormat="1" ht="20" customHeight="1">
      <c r="A134" s="539"/>
      <c r="B134" s="539"/>
      <c r="C134" s="539"/>
      <c r="D134" s="539"/>
      <c r="E134" s="539"/>
      <c r="F134" s="539"/>
      <c r="G134" s="539"/>
      <c r="H134" s="539"/>
      <c r="I134" s="539"/>
      <c r="J134" s="539"/>
      <c r="K134" s="539"/>
      <c r="L134" s="269"/>
    </row>
    <row r="135" spans="1:15" s="129" customFormat="1" ht="45" customHeight="1">
      <c r="A135" s="678"/>
      <c r="B135" s="678"/>
      <c r="C135" s="678"/>
      <c r="D135" s="678"/>
      <c r="E135" s="678"/>
      <c r="F135" s="678"/>
      <c r="G135" s="678"/>
      <c r="H135" s="678"/>
      <c r="I135" s="270"/>
      <c r="J135" s="270"/>
      <c r="K135" s="270"/>
      <c r="L135" s="269"/>
    </row>
    <row r="136" spans="1:15" s="129" customFormat="1" ht="20" customHeight="1">
      <c r="A136" s="678"/>
      <c r="B136" s="678"/>
      <c r="C136" s="678"/>
      <c r="D136" s="679"/>
      <c r="E136" s="678"/>
      <c r="F136" s="678"/>
      <c r="G136" s="678"/>
      <c r="H136" s="678"/>
      <c r="I136" s="271"/>
      <c r="J136" s="270"/>
      <c r="K136" s="271"/>
      <c r="L136" s="269"/>
    </row>
    <row r="137" spans="1:15" s="9" customFormat="1">
      <c r="A137" s="241"/>
      <c r="B137" s="241"/>
      <c r="C137" s="241"/>
      <c r="D137" s="241"/>
      <c r="E137" s="241"/>
      <c r="F137" s="241"/>
      <c r="G137" s="241"/>
      <c r="H137" s="241"/>
      <c r="I137" s="241"/>
      <c r="J137" s="241"/>
      <c r="K137" s="241"/>
      <c r="L137" s="241"/>
    </row>
    <row r="138" spans="1:15" s="129" customFormat="1" ht="20" customHeight="1">
      <c r="A138" s="539"/>
      <c r="B138" s="539"/>
      <c r="C138" s="539"/>
      <c r="D138" s="539"/>
      <c r="E138" s="539"/>
      <c r="F138" s="539"/>
      <c r="G138" s="539"/>
      <c r="H138" s="539"/>
      <c r="I138" s="539"/>
      <c r="J138" s="539"/>
      <c r="K138" s="539"/>
      <c r="L138" s="269"/>
    </row>
    <row r="139" spans="1:15" s="129" customFormat="1" ht="20" customHeight="1">
      <c r="A139" s="680"/>
      <c r="B139" s="680"/>
      <c r="C139" s="680"/>
      <c r="D139" s="680"/>
      <c r="E139" s="680"/>
      <c r="F139" s="680"/>
      <c r="G139" s="680"/>
      <c r="H139" s="680"/>
      <c r="I139" s="680"/>
      <c r="J139" s="680"/>
      <c r="K139" s="272"/>
      <c r="L139" s="269"/>
    </row>
    <row r="140" spans="1:15" s="129" customFormat="1" ht="20" customHeight="1">
      <c r="A140" s="273"/>
      <c r="B140" s="667"/>
      <c r="C140" s="667"/>
      <c r="D140" s="667"/>
      <c r="E140" s="667"/>
      <c r="F140" s="667"/>
      <c r="G140" s="667"/>
      <c r="H140" s="667"/>
      <c r="I140" s="667"/>
      <c r="J140" s="667"/>
      <c r="K140" s="274"/>
      <c r="L140" s="269"/>
    </row>
    <row r="141" spans="1:15" s="129" customFormat="1" ht="20" customHeight="1">
      <c r="A141" s="273"/>
      <c r="B141" s="667"/>
      <c r="C141" s="667"/>
      <c r="D141" s="667"/>
      <c r="E141" s="667"/>
      <c r="F141" s="667"/>
      <c r="G141" s="667"/>
      <c r="H141" s="667"/>
      <c r="I141" s="667"/>
      <c r="J141" s="667"/>
      <c r="K141" s="274"/>
      <c r="L141" s="269"/>
    </row>
    <row r="142" spans="1:15" s="129" customFormat="1" ht="20" customHeight="1">
      <c r="A142" s="273"/>
      <c r="B142" s="667"/>
      <c r="C142" s="667"/>
      <c r="D142" s="667"/>
      <c r="E142" s="667"/>
      <c r="F142" s="667"/>
      <c r="G142" s="667"/>
      <c r="H142" s="667"/>
      <c r="I142" s="667"/>
      <c r="J142" s="667"/>
      <c r="K142" s="273"/>
      <c r="L142" s="269"/>
    </row>
    <row r="143" spans="1:15" s="129" customFormat="1" ht="20" customHeight="1">
      <c r="A143" s="275"/>
      <c r="B143" s="677"/>
      <c r="C143" s="677"/>
      <c r="D143" s="677"/>
      <c r="E143" s="677"/>
      <c r="F143" s="677"/>
      <c r="G143" s="677"/>
      <c r="H143" s="677"/>
      <c r="I143" s="677"/>
      <c r="J143" s="677"/>
      <c r="K143" s="243"/>
      <c r="L143" s="269"/>
    </row>
    <row r="144" spans="1:15">
      <c r="A144" s="241"/>
      <c r="B144" s="241"/>
      <c r="C144" s="241"/>
      <c r="D144" s="241"/>
      <c r="E144" s="241"/>
      <c r="F144" s="241"/>
      <c r="G144" s="241"/>
      <c r="H144" s="241"/>
      <c r="I144" s="241"/>
      <c r="J144" s="241"/>
      <c r="K144" s="241"/>
      <c r="L144" s="241"/>
    </row>
    <row r="145" spans="1:12">
      <c r="A145" s="241"/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  <c r="L145" s="241"/>
    </row>
    <row r="146" spans="1:12">
      <c r="A146" s="241"/>
      <c r="B146" s="241"/>
      <c r="C146" s="241"/>
      <c r="D146" s="241"/>
      <c r="E146" s="241"/>
      <c r="F146" s="241"/>
      <c r="G146" s="241"/>
      <c r="H146" s="241"/>
      <c r="I146" s="241"/>
      <c r="J146" s="241"/>
      <c r="K146" s="241"/>
      <c r="L146" s="241"/>
    </row>
  </sheetData>
  <mergeCells count="147">
    <mergeCell ref="A126:J126"/>
    <mergeCell ref="B68:J68"/>
    <mergeCell ref="B69:J69"/>
    <mergeCell ref="B71:J71"/>
    <mergeCell ref="B72:J72"/>
    <mergeCell ref="A107:I107"/>
    <mergeCell ref="A115:J115"/>
    <mergeCell ref="A116:J116"/>
    <mergeCell ref="B108:I108"/>
    <mergeCell ref="B109:I109"/>
    <mergeCell ref="C111:I111"/>
    <mergeCell ref="A125:J125"/>
    <mergeCell ref="A118:J118"/>
    <mergeCell ref="B82:I82"/>
    <mergeCell ref="I77:J77"/>
    <mergeCell ref="I79:J79"/>
    <mergeCell ref="I80:J80"/>
    <mergeCell ref="A77:H80"/>
    <mergeCell ref="A74:J74"/>
    <mergeCell ref="A81:I81"/>
    <mergeCell ref="A122:J122"/>
    <mergeCell ref="I78:J78"/>
    <mergeCell ref="B70:J70"/>
    <mergeCell ref="A123:J123"/>
    <mergeCell ref="B103:J103"/>
    <mergeCell ref="A104:J104"/>
    <mergeCell ref="B97:J97"/>
    <mergeCell ref="A90:K90"/>
    <mergeCell ref="A91:I91"/>
    <mergeCell ref="B92:I92"/>
    <mergeCell ref="A93:I93"/>
    <mergeCell ref="A89:J89"/>
    <mergeCell ref="A119:J119"/>
    <mergeCell ref="K8:O8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B23:J23"/>
    <mergeCell ref="B51:J51"/>
    <mergeCell ref="B52:J52"/>
    <mergeCell ref="B53:J53"/>
    <mergeCell ref="B45:I45"/>
    <mergeCell ref="B46:I46"/>
    <mergeCell ref="B41:C41"/>
    <mergeCell ref="H41:I41"/>
    <mergeCell ref="B83:I83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49:J49"/>
    <mergeCell ref="A38:I38"/>
    <mergeCell ref="A48:J48"/>
    <mergeCell ref="B50:J50"/>
    <mergeCell ref="A47:I47"/>
    <mergeCell ref="A35:I35"/>
    <mergeCell ref="A36:K36"/>
    <mergeCell ref="A37:I37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6:J26"/>
    <mergeCell ref="B27:J27"/>
    <mergeCell ref="B28:J28"/>
    <mergeCell ref="B141:J141"/>
    <mergeCell ref="B142:J142"/>
    <mergeCell ref="B143:J143"/>
    <mergeCell ref="A134:K134"/>
    <mergeCell ref="A135:C135"/>
    <mergeCell ref="D135:F135"/>
    <mergeCell ref="G135:H135"/>
    <mergeCell ref="A136:C136"/>
    <mergeCell ref="D136:F136"/>
    <mergeCell ref="G136:H136"/>
    <mergeCell ref="A138:K138"/>
    <mergeCell ref="A139:J139"/>
    <mergeCell ref="A120:J120"/>
    <mergeCell ref="A121:J121"/>
    <mergeCell ref="A65:J65"/>
    <mergeCell ref="B54:J54"/>
    <mergeCell ref="B55:J55"/>
    <mergeCell ref="B56:J56"/>
    <mergeCell ref="D113:E113"/>
    <mergeCell ref="D114:E114"/>
    <mergeCell ref="B140:J140"/>
    <mergeCell ref="B57:J57"/>
    <mergeCell ref="A100:J100"/>
    <mergeCell ref="A106:K106"/>
    <mergeCell ref="A98:J98"/>
    <mergeCell ref="B110:J110"/>
    <mergeCell ref="A124:J124"/>
    <mergeCell ref="B96:J96"/>
    <mergeCell ref="B84:I84"/>
    <mergeCell ref="B85:I85"/>
    <mergeCell ref="B86:I86"/>
    <mergeCell ref="B87:I87"/>
    <mergeCell ref="B88:I88"/>
    <mergeCell ref="A94:K94"/>
    <mergeCell ref="B101:J101"/>
    <mergeCell ref="B102:J102"/>
    <mergeCell ref="A128:J128"/>
    <mergeCell ref="A117:J117"/>
    <mergeCell ref="A129:J129"/>
    <mergeCell ref="A75:J75"/>
    <mergeCell ref="D7:J7"/>
    <mergeCell ref="A29:J29"/>
    <mergeCell ref="A31:K31"/>
    <mergeCell ref="A32:I32"/>
    <mergeCell ref="B33:I33"/>
    <mergeCell ref="A127:J127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A113:C113"/>
    <mergeCell ref="A76:O76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75"/>
  <sheetViews>
    <sheetView showGridLines="0" workbookViewId="0">
      <selection activeCell="I49" sqref="I49"/>
    </sheetView>
  </sheetViews>
  <sheetFormatPr defaultColWidth="8.6640625" defaultRowHeight="14.5"/>
  <cols>
    <col min="1" max="1" width="18.5" style="163" customWidth="1"/>
    <col min="2" max="2" width="10.9140625" style="163" customWidth="1"/>
    <col min="3" max="3" width="15.1640625" style="163" customWidth="1"/>
    <col min="4" max="5" width="10.9140625" style="163" customWidth="1"/>
    <col min="6" max="6" width="13.5" style="163" customWidth="1"/>
    <col min="7" max="7" width="17.5" style="163" bestFit="1" customWidth="1"/>
    <col min="8" max="8" width="8.1640625" style="163" customWidth="1"/>
    <col min="9" max="10" width="8.6640625" style="163"/>
    <col min="11" max="11" width="9" style="163" bestFit="1" customWidth="1"/>
    <col min="12" max="12" width="13.75" style="163" bestFit="1" customWidth="1"/>
    <col min="13" max="13" width="9.5" style="163" bestFit="1" customWidth="1"/>
    <col min="14" max="16384" width="8.6640625" style="163"/>
  </cols>
  <sheetData>
    <row r="1" spans="1:7" ht="70.25" customHeight="1">
      <c r="A1" s="805" t="s">
        <v>320</v>
      </c>
      <c r="B1" s="806"/>
      <c r="C1" s="806"/>
      <c r="D1" s="806"/>
      <c r="E1" s="806"/>
      <c r="F1" s="806"/>
      <c r="G1" s="807"/>
    </row>
    <row r="2" spans="1:7" ht="20" customHeight="1">
      <c r="A2" s="170" t="s">
        <v>195</v>
      </c>
      <c r="B2" s="808"/>
      <c r="C2" s="808"/>
      <c r="D2" s="808"/>
      <c r="E2" s="808"/>
      <c r="F2" s="808"/>
      <c r="G2" s="809"/>
    </row>
    <row r="3" spans="1:7" ht="20" customHeight="1">
      <c r="A3" s="170" t="s">
        <v>196</v>
      </c>
      <c r="B3" s="808"/>
      <c r="C3" s="808"/>
      <c r="D3" s="808"/>
      <c r="E3" s="808"/>
      <c r="F3" s="808"/>
      <c r="G3" s="809"/>
    </row>
    <row r="4" spans="1:7" ht="20" customHeight="1">
      <c r="A4" s="170" t="s">
        <v>197</v>
      </c>
      <c r="B4" s="808"/>
      <c r="C4" s="808"/>
      <c r="D4" s="808"/>
      <c r="E4" s="808"/>
      <c r="F4" s="808"/>
      <c r="G4" s="809"/>
    </row>
    <row r="5" spans="1:7" ht="20" customHeight="1">
      <c r="A5" s="170" t="s">
        <v>198</v>
      </c>
      <c r="B5" s="810" t="s">
        <v>199</v>
      </c>
      <c r="C5" s="810"/>
      <c r="D5" s="167" t="s">
        <v>200</v>
      </c>
      <c r="E5" s="808"/>
      <c r="F5" s="808"/>
      <c r="G5" s="809"/>
    </row>
    <row r="6" spans="1:7" s="198" customFormat="1" ht="20" customHeight="1">
      <c r="A6" s="229" t="s">
        <v>201</v>
      </c>
      <c r="B6" s="820"/>
      <c r="C6" s="821"/>
      <c r="D6" s="808"/>
      <c r="E6" s="808"/>
      <c r="F6" s="808"/>
      <c r="G6" s="809"/>
    </row>
    <row r="7" spans="1:7" s="198" customFormat="1" ht="20" customHeight="1">
      <c r="A7" s="361" t="s">
        <v>336</v>
      </c>
      <c r="B7" s="820"/>
      <c r="C7" s="821"/>
      <c r="D7" s="808"/>
      <c r="E7" s="808"/>
      <c r="F7" s="808"/>
      <c r="G7" s="809"/>
    </row>
    <row r="8" spans="1:7" ht="20" customHeight="1">
      <c r="A8" s="206" t="s">
        <v>90</v>
      </c>
      <c r="B8" s="816" t="s">
        <v>337</v>
      </c>
      <c r="C8" s="817"/>
      <c r="D8" s="818"/>
      <c r="E8" s="818"/>
      <c r="F8" s="818"/>
      <c r="G8" s="819"/>
    </row>
    <row r="9" spans="1:7" s="198" customFormat="1" ht="20" customHeight="1">
      <c r="A9" s="811" t="s">
        <v>273</v>
      </c>
      <c r="B9" s="812"/>
      <c r="C9" s="813"/>
      <c r="D9" s="799"/>
      <c r="E9" s="800"/>
      <c r="F9" s="800"/>
      <c r="G9" s="801"/>
    </row>
    <row r="10" spans="1:7" s="198" customFormat="1" ht="30" customHeight="1">
      <c r="A10" s="814" t="s">
        <v>274</v>
      </c>
      <c r="B10" s="815"/>
      <c r="C10" s="815"/>
      <c r="D10" s="802"/>
      <c r="E10" s="803"/>
      <c r="F10" s="803"/>
      <c r="G10" s="804"/>
    </row>
    <row r="11" spans="1:7" s="198" customFormat="1" ht="30" customHeight="1">
      <c r="A11" s="850" t="s">
        <v>275</v>
      </c>
      <c r="B11" s="851"/>
      <c r="C11" s="851"/>
      <c r="D11" s="851"/>
      <c r="E11" s="851"/>
      <c r="F11" s="851"/>
      <c r="G11" s="851"/>
    </row>
    <row r="12" spans="1:7" ht="15.5">
      <c r="A12" s="852" t="s">
        <v>276</v>
      </c>
      <c r="B12" s="853"/>
      <c r="C12" s="853"/>
      <c r="D12" s="853"/>
      <c r="E12" s="853"/>
      <c r="F12" s="853"/>
      <c r="G12" s="854"/>
    </row>
    <row r="13" spans="1:7" ht="31">
      <c r="A13" s="221" t="s">
        <v>202</v>
      </c>
      <c r="B13" s="222" t="s">
        <v>265</v>
      </c>
      <c r="C13" s="223" t="s">
        <v>263</v>
      </c>
      <c r="D13" s="793" t="s">
        <v>264</v>
      </c>
      <c r="E13" s="793"/>
      <c r="F13" s="793" t="s">
        <v>262</v>
      </c>
      <c r="G13" s="794"/>
    </row>
    <row r="14" spans="1:7" s="198" customFormat="1" ht="15.5">
      <c r="A14" s="227">
        <v>19</v>
      </c>
      <c r="B14" s="224">
        <v>1</v>
      </c>
      <c r="C14" s="278">
        <f>'Copeiragem_Grupo 3'!K126</f>
        <v>5138.633283537587</v>
      </c>
      <c r="D14" s="797">
        <f>B14*C14</f>
        <v>5138.633283537587</v>
      </c>
      <c r="E14" s="798"/>
      <c r="F14" s="797">
        <f>D14*36</f>
        <v>184990.79820735313</v>
      </c>
      <c r="G14" s="798"/>
    </row>
    <row r="15" spans="1:7" s="198" customFormat="1" ht="15.5">
      <c r="A15" s="227">
        <v>20</v>
      </c>
      <c r="B15" s="224">
        <v>1</v>
      </c>
      <c r="C15" s="278">
        <f>'Copeiragem_Grupo 3'!L126</f>
        <v>4328.268230340941</v>
      </c>
      <c r="D15" s="797">
        <f t="shared" ref="D15:D18" si="0">B15*C15</f>
        <v>4328.268230340941</v>
      </c>
      <c r="E15" s="798"/>
      <c r="F15" s="797">
        <f t="shared" ref="F15:F18" si="1">D15*36</f>
        <v>155817.65629227387</v>
      </c>
      <c r="G15" s="798"/>
    </row>
    <row r="16" spans="1:7" s="198" customFormat="1" ht="15.5">
      <c r="A16" s="227">
        <v>21</v>
      </c>
      <c r="B16" s="224">
        <v>1</v>
      </c>
      <c r="C16" s="278">
        <f>'Copeiragem_Grupo 3'!M126</f>
        <v>5140.4885613153656</v>
      </c>
      <c r="D16" s="797">
        <f t="shared" si="0"/>
        <v>5140.4885613153656</v>
      </c>
      <c r="E16" s="798"/>
      <c r="F16" s="797">
        <f t="shared" si="1"/>
        <v>185057.58820735317</v>
      </c>
      <c r="G16" s="798"/>
    </row>
    <row r="17" spans="1:13" s="198" customFormat="1" ht="15.5">
      <c r="A17" s="227">
        <v>22</v>
      </c>
      <c r="B17" s="224">
        <v>1</v>
      </c>
      <c r="C17" s="278">
        <f>'Copeiragem_Grupo 3'!N126</f>
        <v>5202.271339093144</v>
      </c>
      <c r="D17" s="797">
        <f t="shared" si="0"/>
        <v>5202.271339093144</v>
      </c>
      <c r="E17" s="798"/>
      <c r="F17" s="797">
        <f t="shared" si="1"/>
        <v>187281.76820735319</v>
      </c>
      <c r="G17" s="798"/>
    </row>
    <row r="18" spans="1:13" s="198" customFormat="1" ht="15.5">
      <c r="A18" s="227">
        <v>23</v>
      </c>
      <c r="B18" s="224">
        <v>1</v>
      </c>
      <c r="C18" s="278">
        <f>'Copeiragem_Grupo 3'!O126</f>
        <v>5126.6810613153648</v>
      </c>
      <c r="D18" s="797">
        <f t="shared" si="0"/>
        <v>5126.6810613153648</v>
      </c>
      <c r="E18" s="798"/>
      <c r="F18" s="797">
        <f t="shared" si="1"/>
        <v>184560.51820735313</v>
      </c>
      <c r="G18" s="798"/>
    </row>
    <row r="19" spans="1:13" s="198" customFormat="1" ht="15.5">
      <c r="A19" s="221"/>
      <c r="B19" s="224"/>
      <c r="C19" s="278"/>
      <c r="D19" s="797"/>
      <c r="E19" s="798"/>
      <c r="F19" s="797"/>
      <c r="G19" s="798"/>
      <c r="M19" s="285"/>
    </row>
    <row r="20" spans="1:13" s="198" customFormat="1" ht="15.5">
      <c r="A20" s="221"/>
      <c r="B20" s="224"/>
      <c r="C20" s="278"/>
      <c r="D20" s="797"/>
      <c r="E20" s="798"/>
      <c r="F20" s="797"/>
      <c r="G20" s="798"/>
    </row>
    <row r="21" spans="1:13" s="198" customFormat="1" ht="15.5">
      <c r="A21" s="221"/>
      <c r="B21" s="224"/>
      <c r="C21" s="278"/>
      <c r="D21" s="797"/>
      <c r="E21" s="798"/>
      <c r="F21" s="797"/>
      <c r="G21" s="798"/>
    </row>
    <row r="22" spans="1:13" s="198" customFormat="1" ht="15.5">
      <c r="A22" s="225"/>
      <c r="B22" s="226"/>
      <c r="C22" s="279"/>
      <c r="D22" s="797"/>
      <c r="E22" s="798"/>
      <c r="F22" s="797"/>
      <c r="G22" s="798"/>
    </row>
    <row r="23" spans="1:13" ht="20" customHeight="1">
      <c r="A23" s="865" t="s">
        <v>266</v>
      </c>
      <c r="B23" s="866"/>
      <c r="C23" s="867"/>
      <c r="D23" s="795">
        <f>SUM(D14:E22)</f>
        <v>24936.342475602403</v>
      </c>
      <c r="E23" s="795"/>
      <c r="F23" s="795">
        <f>D23*36</f>
        <v>897708.32912168652</v>
      </c>
      <c r="G23" s="796"/>
    </row>
    <row r="24" spans="1:13" s="198" customFormat="1" ht="20" customHeight="1">
      <c r="A24" s="868" t="s">
        <v>277</v>
      </c>
      <c r="B24" s="869"/>
      <c r="C24" s="869"/>
      <c r="D24" s="869"/>
      <c r="E24" s="869"/>
      <c r="F24" s="869"/>
      <c r="G24" s="870"/>
    </row>
    <row r="25" spans="1:13" s="198" customFormat="1" ht="40.5" customHeight="1">
      <c r="A25" s="219" t="s">
        <v>202</v>
      </c>
      <c r="B25" s="871" t="s">
        <v>267</v>
      </c>
      <c r="C25" s="872"/>
      <c r="D25" s="872"/>
      <c r="E25" s="469"/>
      <c r="F25" s="855" t="s">
        <v>262</v>
      </c>
      <c r="G25" s="469"/>
    </row>
    <row r="26" spans="1:13" s="198" customFormat="1" ht="20" customHeight="1">
      <c r="A26" s="227">
        <v>19</v>
      </c>
      <c r="B26" s="862">
        <f>'Licitante - Material de Consumo'!E46</f>
        <v>3076.2910798125008</v>
      </c>
      <c r="C26" s="863"/>
      <c r="D26" s="863">
        <f>B26+C26</f>
        <v>3076.2910798125008</v>
      </c>
      <c r="E26" s="864"/>
      <c r="F26" s="855">
        <f>D26*36</f>
        <v>110746.47887325003</v>
      </c>
      <c r="G26" s="469"/>
    </row>
    <row r="27" spans="1:13" s="198" customFormat="1" ht="20" customHeight="1">
      <c r="A27" s="227">
        <v>20</v>
      </c>
      <c r="B27" s="862">
        <f>'Licitante - Material de Consumo'!G46</f>
        <v>20933.219524544998</v>
      </c>
      <c r="C27" s="863"/>
      <c r="D27" s="863">
        <f t="shared" ref="D27:D30" si="2">B27+C27</f>
        <v>20933.219524544998</v>
      </c>
      <c r="E27" s="864"/>
      <c r="F27" s="855">
        <f t="shared" ref="F27:F30" si="3">D27*36</f>
        <v>753595.90288362</v>
      </c>
      <c r="G27" s="469"/>
    </row>
    <row r="28" spans="1:13" s="198" customFormat="1" ht="20" customHeight="1">
      <c r="A28" s="227">
        <v>21</v>
      </c>
      <c r="B28" s="862">
        <f>'Licitante - Material de Consumo'!I46</f>
        <v>2580.8176138125004</v>
      </c>
      <c r="C28" s="863"/>
      <c r="D28" s="863">
        <f t="shared" si="2"/>
        <v>2580.8176138125004</v>
      </c>
      <c r="E28" s="864"/>
      <c r="F28" s="855">
        <f t="shared" si="3"/>
        <v>92909.434097250021</v>
      </c>
      <c r="G28" s="469"/>
    </row>
    <row r="29" spans="1:13" s="198" customFormat="1" ht="20" customHeight="1">
      <c r="A29" s="227">
        <v>22</v>
      </c>
      <c r="B29" s="862">
        <f>'Licitante - Material de Consumo'!K46</f>
        <v>1775.0574355049998</v>
      </c>
      <c r="C29" s="863"/>
      <c r="D29" s="863">
        <f t="shared" si="2"/>
        <v>1775.0574355049998</v>
      </c>
      <c r="E29" s="864"/>
      <c r="F29" s="855">
        <f t="shared" si="3"/>
        <v>63902.067678179992</v>
      </c>
      <c r="G29" s="469"/>
    </row>
    <row r="30" spans="1:13" s="198" customFormat="1" ht="20" customHeight="1">
      <c r="A30" s="227">
        <v>23</v>
      </c>
      <c r="B30" s="862">
        <f>'Licitante - Material de Consumo'!M46</f>
        <v>8681.6476639424982</v>
      </c>
      <c r="C30" s="863"/>
      <c r="D30" s="863">
        <f t="shared" si="2"/>
        <v>8681.6476639424982</v>
      </c>
      <c r="E30" s="864"/>
      <c r="F30" s="855">
        <f t="shared" si="3"/>
        <v>312539.31590192992</v>
      </c>
      <c r="G30" s="469"/>
    </row>
    <row r="31" spans="1:13" s="198" customFormat="1" ht="20" customHeight="1">
      <c r="A31" s="227"/>
      <c r="B31" s="862"/>
      <c r="C31" s="863"/>
      <c r="D31" s="863"/>
      <c r="E31" s="864"/>
      <c r="F31" s="855"/>
      <c r="G31" s="469"/>
    </row>
    <row r="32" spans="1:13" s="198" customFormat="1" ht="20" customHeight="1">
      <c r="A32" s="227"/>
      <c r="B32" s="862"/>
      <c r="C32" s="863"/>
      <c r="D32" s="863"/>
      <c r="E32" s="864"/>
      <c r="F32" s="855"/>
      <c r="G32" s="469"/>
    </row>
    <row r="33" spans="1:12" s="198" customFormat="1" ht="20" customHeight="1">
      <c r="A33" s="227"/>
      <c r="B33" s="862"/>
      <c r="C33" s="863"/>
      <c r="D33" s="863"/>
      <c r="E33" s="864"/>
      <c r="F33" s="855"/>
      <c r="G33" s="469"/>
    </row>
    <row r="34" spans="1:12" s="198" customFormat="1" ht="20" customHeight="1">
      <c r="A34" s="228"/>
      <c r="B34" s="862"/>
      <c r="C34" s="863"/>
      <c r="D34" s="863"/>
      <c r="E34" s="864"/>
      <c r="F34" s="855"/>
      <c r="G34" s="469"/>
    </row>
    <row r="35" spans="1:12" s="198" customFormat="1" ht="20" customHeight="1">
      <c r="A35" s="856" t="s">
        <v>268</v>
      </c>
      <c r="B35" s="857"/>
      <c r="C35" s="858"/>
      <c r="D35" s="859">
        <f>SUM(D26:E34)</f>
        <v>37047.033317617505</v>
      </c>
      <c r="E35" s="860"/>
      <c r="F35" s="861">
        <f>SUM(F26:G34)</f>
        <v>1333693.1994342299</v>
      </c>
      <c r="G35" s="860"/>
    </row>
    <row r="36" spans="1:12" s="198" customFormat="1" ht="20" customHeight="1">
      <c r="A36" s="837" t="s">
        <v>278</v>
      </c>
      <c r="B36" s="838"/>
      <c r="C36" s="838"/>
      <c r="D36" s="838"/>
      <c r="E36" s="838"/>
      <c r="F36" s="838"/>
      <c r="G36" s="838"/>
    </row>
    <row r="37" spans="1:12" s="198" customFormat="1" ht="20" customHeight="1">
      <c r="A37" s="230" t="s">
        <v>202</v>
      </c>
      <c r="B37" s="231" t="s">
        <v>269</v>
      </c>
      <c r="C37" s="231" t="s">
        <v>270</v>
      </c>
      <c r="D37" s="839" t="s">
        <v>271</v>
      </c>
      <c r="E37" s="840"/>
      <c r="F37" s="839" t="s">
        <v>262</v>
      </c>
      <c r="G37" s="840"/>
    </row>
    <row r="38" spans="1:12" s="198" customFormat="1" ht="20" customHeight="1">
      <c r="A38" s="227">
        <v>19</v>
      </c>
      <c r="B38" s="283">
        <f>D14</f>
        <v>5138.633283537587</v>
      </c>
      <c r="C38" s="284">
        <f>B26</f>
        <v>3076.2910798125008</v>
      </c>
      <c r="D38" s="841">
        <f>B38+C38</f>
        <v>8214.9243633500882</v>
      </c>
      <c r="E38" s="842"/>
      <c r="F38" s="841">
        <f>D38*36</f>
        <v>295737.27708060318</v>
      </c>
      <c r="G38" s="842"/>
      <c r="L38" s="285"/>
    </row>
    <row r="39" spans="1:12" s="198" customFormat="1" ht="20" customHeight="1">
      <c r="A39" s="227">
        <v>20</v>
      </c>
      <c r="B39" s="283">
        <f t="shared" ref="B39:B42" si="4">D15</f>
        <v>4328.268230340941</v>
      </c>
      <c r="C39" s="284">
        <f t="shared" ref="C39:C42" si="5">B27</f>
        <v>20933.219524544998</v>
      </c>
      <c r="D39" s="841">
        <f t="shared" ref="D39:D42" si="6">B39+C39</f>
        <v>25261.48775488594</v>
      </c>
      <c r="E39" s="842"/>
      <c r="F39" s="841">
        <f t="shared" ref="F39:F42" si="7">D39*36</f>
        <v>909413.5591758939</v>
      </c>
      <c r="G39" s="842"/>
    </row>
    <row r="40" spans="1:12" s="198" customFormat="1" ht="20" customHeight="1">
      <c r="A40" s="227">
        <v>21</v>
      </c>
      <c r="B40" s="283">
        <f t="shared" si="4"/>
        <v>5140.4885613153656</v>
      </c>
      <c r="C40" s="284">
        <f t="shared" si="5"/>
        <v>2580.8176138125004</v>
      </c>
      <c r="D40" s="841">
        <f t="shared" si="6"/>
        <v>7721.3061751278656</v>
      </c>
      <c r="E40" s="842"/>
      <c r="F40" s="841">
        <f t="shared" si="7"/>
        <v>277967.02230460313</v>
      </c>
      <c r="G40" s="842"/>
    </row>
    <row r="41" spans="1:12" s="198" customFormat="1" ht="20" customHeight="1">
      <c r="A41" s="227">
        <v>22</v>
      </c>
      <c r="B41" s="283">
        <f t="shared" si="4"/>
        <v>5202.271339093144</v>
      </c>
      <c r="C41" s="284">
        <f t="shared" si="5"/>
        <v>1775.0574355049998</v>
      </c>
      <c r="D41" s="841">
        <f t="shared" si="6"/>
        <v>6977.3287745981434</v>
      </c>
      <c r="E41" s="842"/>
      <c r="F41" s="841">
        <f t="shared" si="7"/>
        <v>251183.83588553316</v>
      </c>
      <c r="G41" s="842"/>
    </row>
    <row r="42" spans="1:12" s="198" customFormat="1" ht="20" customHeight="1">
      <c r="A42" s="227">
        <v>23</v>
      </c>
      <c r="B42" s="283">
        <f t="shared" si="4"/>
        <v>5126.6810613153648</v>
      </c>
      <c r="C42" s="284">
        <f t="shared" si="5"/>
        <v>8681.6476639424982</v>
      </c>
      <c r="D42" s="841">
        <f t="shared" si="6"/>
        <v>13808.328725257863</v>
      </c>
      <c r="E42" s="842"/>
      <c r="F42" s="841">
        <f t="shared" si="7"/>
        <v>497099.83410928305</v>
      </c>
      <c r="G42" s="842"/>
    </row>
    <row r="43" spans="1:12" s="198" customFormat="1" ht="20" customHeight="1">
      <c r="A43" s="227"/>
      <c r="B43" s="283"/>
      <c r="C43" s="284"/>
      <c r="D43" s="841"/>
      <c r="E43" s="842"/>
      <c r="F43" s="841"/>
      <c r="G43" s="842"/>
    </row>
    <row r="44" spans="1:12" s="198" customFormat="1" ht="20" customHeight="1">
      <c r="A44" s="227"/>
      <c r="B44" s="283"/>
      <c r="C44" s="284"/>
      <c r="D44" s="841"/>
      <c r="E44" s="842"/>
      <c r="F44" s="841"/>
      <c r="G44" s="842"/>
      <c r="K44" s="362"/>
      <c r="L44" s="363"/>
    </row>
    <row r="45" spans="1:12" s="198" customFormat="1" ht="20" customHeight="1">
      <c r="A45" s="227"/>
      <c r="B45" s="283"/>
      <c r="C45" s="284"/>
      <c r="D45" s="841"/>
      <c r="E45" s="842"/>
      <c r="F45" s="841"/>
      <c r="G45" s="842"/>
    </row>
    <row r="46" spans="1:12" s="198" customFormat="1" ht="20" customHeight="1">
      <c r="A46" s="228"/>
      <c r="B46" s="283"/>
      <c r="C46" s="284"/>
      <c r="D46" s="841"/>
      <c r="E46" s="842"/>
      <c r="F46" s="841"/>
      <c r="G46" s="842"/>
      <c r="K46" s="362"/>
    </row>
    <row r="47" spans="1:12" s="198" customFormat="1" ht="20" customHeight="1">
      <c r="A47" s="843" t="s">
        <v>272</v>
      </c>
      <c r="B47" s="844"/>
      <c r="C47" s="845"/>
      <c r="D47" s="846">
        <f>SUM(D38:E46)</f>
        <v>61983.375793219893</v>
      </c>
      <c r="E47" s="847"/>
      <c r="F47" s="848">
        <f t="shared" ref="F47" si="8">D47*36</f>
        <v>2231401.5285559162</v>
      </c>
      <c r="G47" s="849"/>
      <c r="K47" s="362"/>
      <c r="L47" s="363"/>
    </row>
    <row r="49" spans="1:7">
      <c r="A49" s="834" t="s">
        <v>203</v>
      </c>
      <c r="B49" s="835"/>
      <c r="C49" s="836"/>
      <c r="D49" s="836"/>
      <c r="E49" s="836"/>
      <c r="F49" s="836"/>
      <c r="G49" s="600"/>
    </row>
    <row r="50" spans="1:7">
      <c r="A50" s="599"/>
      <c r="B50" s="836"/>
      <c r="C50" s="836"/>
      <c r="D50" s="836"/>
      <c r="E50" s="836"/>
      <c r="F50" s="836"/>
      <c r="G50" s="600"/>
    </row>
    <row r="51" spans="1:7" ht="45" customHeight="1">
      <c r="A51" s="831" t="s">
        <v>209</v>
      </c>
      <c r="B51" s="832"/>
      <c r="C51" s="832"/>
      <c r="D51" s="832"/>
      <c r="E51" s="832"/>
      <c r="F51" s="832"/>
      <c r="G51" s="833"/>
    </row>
    <row r="52" spans="1:7">
      <c r="A52" s="174"/>
      <c r="B52" s="175"/>
      <c r="C52" s="175"/>
      <c r="D52" s="175"/>
      <c r="E52" s="175"/>
      <c r="F52" s="175"/>
      <c r="G52" s="176"/>
    </row>
    <row r="53" spans="1:7" ht="45" customHeight="1">
      <c r="A53" s="831" t="s">
        <v>204</v>
      </c>
      <c r="B53" s="832"/>
      <c r="C53" s="832"/>
      <c r="D53" s="832"/>
      <c r="E53" s="832"/>
      <c r="F53" s="832"/>
      <c r="G53" s="833"/>
    </row>
    <row r="54" spans="1:7">
      <c r="A54" s="174"/>
      <c r="B54" s="175"/>
      <c r="C54" s="175"/>
      <c r="D54" s="175"/>
      <c r="E54" s="175"/>
      <c r="F54" s="175"/>
      <c r="G54" s="176"/>
    </row>
    <row r="55" spans="1:7" ht="45" customHeight="1">
      <c r="A55" s="831" t="s">
        <v>205</v>
      </c>
      <c r="B55" s="832"/>
      <c r="C55" s="832"/>
      <c r="D55" s="832"/>
      <c r="E55" s="832"/>
      <c r="F55" s="832"/>
      <c r="G55" s="833"/>
    </row>
    <row r="56" spans="1:7" ht="14.4" customHeight="1">
      <c r="A56" s="174"/>
      <c r="B56" s="175"/>
      <c r="C56" s="175"/>
      <c r="D56" s="175"/>
      <c r="E56" s="175"/>
      <c r="F56" s="175"/>
      <c r="G56" s="176"/>
    </row>
    <row r="57" spans="1:7" ht="45" customHeight="1">
      <c r="A57" s="831" t="s">
        <v>206</v>
      </c>
      <c r="B57" s="832"/>
      <c r="C57" s="832"/>
      <c r="D57" s="832"/>
      <c r="E57" s="832"/>
      <c r="F57" s="832"/>
      <c r="G57" s="833"/>
    </row>
    <row r="58" spans="1:7">
      <c r="A58" s="174"/>
      <c r="B58" s="175"/>
      <c r="C58" s="175"/>
      <c r="D58" s="175"/>
      <c r="E58" s="175"/>
      <c r="F58" s="175"/>
      <c r="G58" s="176"/>
    </row>
    <row r="59" spans="1:7" ht="45" customHeight="1">
      <c r="A59" s="831" t="s">
        <v>207</v>
      </c>
      <c r="B59" s="832"/>
      <c r="C59" s="832"/>
      <c r="D59" s="832"/>
      <c r="E59" s="832"/>
      <c r="F59" s="832"/>
      <c r="G59" s="833"/>
    </row>
    <row r="60" spans="1:7">
      <c r="A60" s="174"/>
      <c r="B60" s="172"/>
      <c r="C60" s="172"/>
      <c r="D60" s="172"/>
      <c r="E60" s="172"/>
      <c r="F60" s="172"/>
      <c r="G60" s="173"/>
    </row>
    <row r="61" spans="1:7">
      <c r="A61" s="825" t="s">
        <v>293</v>
      </c>
      <c r="B61" s="826"/>
      <c r="C61" s="826"/>
      <c r="D61" s="826"/>
      <c r="E61" s="826"/>
      <c r="F61" s="826"/>
      <c r="G61" s="827"/>
    </row>
    <row r="62" spans="1:7">
      <c r="A62" s="171"/>
      <c r="B62" s="172"/>
      <c r="C62" s="172"/>
      <c r="D62" s="172"/>
      <c r="E62" s="172"/>
      <c r="F62" s="172"/>
      <c r="G62" s="173"/>
    </row>
    <row r="63" spans="1:7">
      <c r="A63" s="177"/>
      <c r="B63" s="172"/>
      <c r="C63" s="172"/>
      <c r="D63" s="172"/>
      <c r="E63" s="172"/>
      <c r="F63" s="172"/>
      <c r="G63" s="173"/>
    </row>
    <row r="64" spans="1:7">
      <c r="A64" s="825" t="s">
        <v>208</v>
      </c>
      <c r="B64" s="826"/>
      <c r="C64" s="826"/>
      <c r="D64" s="826"/>
      <c r="E64" s="826"/>
      <c r="F64" s="826"/>
      <c r="G64" s="827"/>
    </row>
    <row r="65" spans="1:7">
      <c r="A65" s="828" t="s">
        <v>210</v>
      </c>
      <c r="B65" s="829"/>
      <c r="C65" s="829"/>
      <c r="D65" s="829"/>
      <c r="E65" s="829"/>
      <c r="F65" s="829"/>
      <c r="G65" s="830"/>
    </row>
    <row r="66" spans="1:7" s="181" customFormat="1">
      <c r="A66" s="182"/>
      <c r="B66" s="183"/>
      <c r="C66" s="183"/>
      <c r="D66" s="183"/>
      <c r="E66" s="183"/>
      <c r="F66" s="183"/>
      <c r="G66" s="184"/>
    </row>
    <row r="67" spans="1:7">
      <c r="A67" s="171"/>
      <c r="B67" s="172"/>
      <c r="C67" s="172"/>
      <c r="D67" s="172"/>
      <c r="E67" s="172"/>
      <c r="F67" s="172"/>
      <c r="G67" s="173"/>
    </row>
    <row r="68" spans="1:7" s="181" customFormat="1">
      <c r="A68" s="822" t="s">
        <v>216</v>
      </c>
      <c r="B68" s="823"/>
      <c r="C68" s="823"/>
      <c r="D68" s="823"/>
      <c r="E68" s="823"/>
      <c r="F68" s="823"/>
      <c r="G68" s="824"/>
    </row>
    <row r="69" spans="1:7" s="181" customFormat="1">
      <c r="A69" s="195"/>
      <c r="B69" s="196"/>
      <c r="C69" s="196"/>
      <c r="D69" s="196"/>
      <c r="E69" s="196"/>
      <c r="F69" s="196"/>
      <c r="G69" s="197"/>
    </row>
    <row r="70" spans="1:7" s="181" customFormat="1">
      <c r="A70" s="195"/>
      <c r="B70" s="196"/>
      <c r="C70" s="196"/>
      <c r="D70" s="196"/>
      <c r="E70" s="196"/>
      <c r="F70" s="196"/>
      <c r="G70" s="197"/>
    </row>
    <row r="71" spans="1:7" ht="15" thickBot="1">
      <c r="A71" s="178"/>
      <c r="B71" s="179"/>
      <c r="C71" s="179"/>
      <c r="D71" s="179"/>
      <c r="E71" s="179"/>
      <c r="F71" s="179"/>
      <c r="G71" s="180"/>
    </row>
    <row r="73" spans="1:7" ht="15.5">
      <c r="G73" s="168"/>
    </row>
    <row r="74" spans="1:7" ht="15.5">
      <c r="G74" s="169"/>
    </row>
    <row r="75" spans="1:7" ht="15.5">
      <c r="G75" s="169"/>
    </row>
  </sheetData>
  <mergeCells count="96">
    <mergeCell ref="A23:C23"/>
    <mergeCell ref="A24:G24"/>
    <mergeCell ref="F15:G15"/>
    <mergeCell ref="F27:G27"/>
    <mergeCell ref="F28:G28"/>
    <mergeCell ref="B25:E25"/>
    <mergeCell ref="B26:E26"/>
    <mergeCell ref="B27:E27"/>
    <mergeCell ref="B28:E28"/>
    <mergeCell ref="D20:E20"/>
    <mergeCell ref="F16:G16"/>
    <mergeCell ref="F17:G17"/>
    <mergeCell ref="F18:G18"/>
    <mergeCell ref="F19:G19"/>
    <mergeCell ref="F20:G20"/>
    <mergeCell ref="F29:G29"/>
    <mergeCell ref="F30:G30"/>
    <mergeCell ref="F31:G31"/>
    <mergeCell ref="A35:C35"/>
    <mergeCell ref="D35:E35"/>
    <mergeCell ref="F35:G35"/>
    <mergeCell ref="F32:G32"/>
    <mergeCell ref="F33:G33"/>
    <mergeCell ref="F34:G34"/>
    <mergeCell ref="B32:E32"/>
    <mergeCell ref="B33:E33"/>
    <mergeCell ref="B34:E34"/>
    <mergeCell ref="B29:E29"/>
    <mergeCell ref="B30:E30"/>
    <mergeCell ref="B31:E31"/>
    <mergeCell ref="D43:E43"/>
    <mergeCell ref="D44:E44"/>
    <mergeCell ref="D45:E45"/>
    <mergeCell ref="D46:E46"/>
    <mergeCell ref="A11:G11"/>
    <mergeCell ref="D38:E38"/>
    <mergeCell ref="D39:E39"/>
    <mergeCell ref="D40:E40"/>
    <mergeCell ref="D41:E41"/>
    <mergeCell ref="D42:E42"/>
    <mergeCell ref="A12:G12"/>
    <mergeCell ref="F25:G25"/>
    <mergeCell ref="F26:G26"/>
    <mergeCell ref="D21:E21"/>
    <mergeCell ref="D22:E22"/>
    <mergeCell ref="F14:G14"/>
    <mergeCell ref="A49:G50"/>
    <mergeCell ref="A36:G36"/>
    <mergeCell ref="D37:E37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A47:C47"/>
    <mergeCell ref="D47:E47"/>
    <mergeCell ref="F46:G46"/>
    <mergeCell ref="F47:G47"/>
    <mergeCell ref="A68:G68"/>
    <mergeCell ref="A64:G64"/>
    <mergeCell ref="A65:G65"/>
    <mergeCell ref="A51:G51"/>
    <mergeCell ref="A53:G53"/>
    <mergeCell ref="A55:G55"/>
    <mergeCell ref="A57:G57"/>
    <mergeCell ref="A59:G59"/>
    <mergeCell ref="A61:G61"/>
    <mergeCell ref="D9:G9"/>
    <mergeCell ref="D10:G10"/>
    <mergeCell ref="A1:G1"/>
    <mergeCell ref="B2:G2"/>
    <mergeCell ref="B3:G3"/>
    <mergeCell ref="B4:G4"/>
    <mergeCell ref="B5:C5"/>
    <mergeCell ref="E5:G5"/>
    <mergeCell ref="A9:C9"/>
    <mergeCell ref="A10:C10"/>
    <mergeCell ref="B8:G8"/>
    <mergeCell ref="B7:G7"/>
    <mergeCell ref="B6:G6"/>
    <mergeCell ref="D13:E13"/>
    <mergeCell ref="F13:G13"/>
    <mergeCell ref="D23:E23"/>
    <mergeCell ref="F23:G23"/>
    <mergeCell ref="D14:E14"/>
    <mergeCell ref="D15:E15"/>
    <mergeCell ref="F21:G21"/>
    <mergeCell ref="F22:G22"/>
    <mergeCell ref="D16:E16"/>
    <mergeCell ref="D17:E17"/>
    <mergeCell ref="D18:E18"/>
    <mergeCell ref="D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Props1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3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2025-03-24T13:43:44Z</dcterms:modified>
  <dc:language>pt-BR</dc:language>
</cp:coreProperties>
</file>